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1738069\Desktop\"/>
    </mc:Choice>
  </mc:AlternateContent>
  <bookViews>
    <workbookView xWindow="0" yWindow="0" windowWidth="28800" windowHeight="12135"/>
  </bookViews>
  <sheets>
    <sheet name="SIIF Ejecución  " sheetId="29" r:id="rId1"/>
    <sheet name="ejecucion OAP" sheetId="32" state="hidden" r:id="rId2"/>
    <sheet name="RESERVAS " sheetId="41" state="hidden" r:id="rId3"/>
    <sheet name="RESUMEN" sheetId="40" state="hidden" r:id="rId4"/>
    <sheet name="MOD METAS VP X TP" sheetId="46" state="hidden" r:id="rId5"/>
  </sheets>
  <externalReferences>
    <externalReference r:id="rId6"/>
    <externalReference r:id="rId7"/>
    <externalReference r:id="rId8"/>
    <externalReference r:id="rId9"/>
  </externalReferences>
  <definedNames>
    <definedName name="a" localSheetId="4">#REF!</definedName>
    <definedName name="a">#REF!</definedName>
    <definedName name="año">[1]Listas!$M$2:$M$8</definedName>
    <definedName name="Cuenta">[1]Listas!$I$2:$I$5</definedName>
    <definedName name="Despacho">[1]Listas!$E$2:$E$4</definedName>
    <definedName name="dia">[1]Listas!$L$2:$L$34</definedName>
    <definedName name="entidad">[1]Listas!$A$2:$A$35</definedName>
    <definedName name="Fecha">[2]Listas!$L$2:$L$13</definedName>
    <definedName name="Mes">[1]Listas!$G$2:$G$13</definedName>
    <definedName name="Sumar?">[1]Listas!$F$2:$F$3</definedName>
    <definedName name="Tipo_gasto">[1]Listas!$D$2:$D$3</definedName>
  </definedNames>
  <calcPr calcId="152511"/>
</workbook>
</file>

<file path=xl/calcChain.xml><?xml version="1.0" encoding="utf-8"?>
<calcChain xmlns="http://schemas.openxmlformats.org/spreadsheetml/2006/main">
  <c r="D4" i="29" l="1"/>
  <c r="E4" i="29"/>
  <c r="C4" i="29"/>
  <c r="D28" i="29"/>
  <c r="E28" i="29"/>
  <c r="C28" i="29"/>
  <c r="D25" i="29"/>
  <c r="E25" i="29"/>
  <c r="C25" i="29"/>
  <c r="D22" i="29"/>
  <c r="E22" i="29"/>
  <c r="C22" i="29"/>
  <c r="D17" i="29"/>
  <c r="E17" i="29"/>
  <c r="C17" i="29"/>
  <c r="D14" i="29"/>
  <c r="E14" i="29"/>
  <c r="C14" i="29"/>
  <c r="D5" i="29"/>
  <c r="E5" i="29"/>
  <c r="C5" i="29"/>
  <c r="U95" i="40" l="1"/>
  <c r="Z50" i="40"/>
  <c r="U95" i="46" l="1"/>
  <c r="W82" i="46" l="1"/>
  <c r="U82" i="46"/>
  <c r="U73" i="46"/>
  <c r="U65" i="46"/>
  <c r="U59" i="46"/>
  <c r="U53" i="46"/>
  <c r="U49" i="46"/>
  <c r="AC93" i="46"/>
  <c r="AB93" i="46"/>
  <c r="AC92" i="46"/>
  <c r="AB92" i="46"/>
  <c r="J91" i="46"/>
  <c r="H91" i="46"/>
  <c r="I91" i="46" s="1"/>
  <c r="G91" i="46"/>
  <c r="AB91" i="46" s="1"/>
  <c r="AB89" i="46" s="1"/>
  <c r="J90" i="46"/>
  <c r="H90" i="46"/>
  <c r="G90" i="46"/>
  <c r="G89" i="46" s="1"/>
  <c r="W89" i="46"/>
  <c r="U89" i="46"/>
  <c r="AC87" i="46"/>
  <c r="AB87" i="46"/>
  <c r="J87" i="46"/>
  <c r="J86" i="46"/>
  <c r="H86" i="46"/>
  <c r="G86" i="46"/>
  <c r="J85" i="46"/>
  <c r="H85" i="46"/>
  <c r="G85" i="46"/>
  <c r="J84" i="46"/>
  <c r="H84" i="46"/>
  <c r="G84" i="46"/>
  <c r="J83" i="46"/>
  <c r="H83" i="46"/>
  <c r="G83" i="46"/>
  <c r="J81" i="46"/>
  <c r="H81" i="46"/>
  <c r="G81" i="46"/>
  <c r="J80" i="46"/>
  <c r="H80" i="46"/>
  <c r="G80" i="46"/>
  <c r="W79" i="46"/>
  <c r="U79" i="46"/>
  <c r="J78" i="46"/>
  <c r="H78" i="46"/>
  <c r="G78" i="46"/>
  <c r="J77" i="46"/>
  <c r="H77" i="46"/>
  <c r="G77" i="46"/>
  <c r="W76" i="46"/>
  <c r="U76" i="46"/>
  <c r="J75" i="46"/>
  <c r="H75" i="46"/>
  <c r="G75" i="46"/>
  <c r="J74" i="46"/>
  <c r="H74" i="46"/>
  <c r="G74" i="46"/>
  <c r="AC73" i="46"/>
  <c r="AB73" i="46"/>
  <c r="J72" i="46"/>
  <c r="H72" i="46"/>
  <c r="G72" i="46"/>
  <c r="J71" i="46"/>
  <c r="H71" i="46"/>
  <c r="G71" i="46"/>
  <c r="W70" i="46"/>
  <c r="U70" i="46"/>
  <c r="J69" i="46"/>
  <c r="H69" i="46"/>
  <c r="G69" i="46"/>
  <c r="AC68" i="46"/>
  <c r="AB68" i="46"/>
  <c r="AH67" i="46"/>
  <c r="AG67" i="46"/>
  <c r="J67" i="46"/>
  <c r="H67" i="46"/>
  <c r="G67" i="46"/>
  <c r="AB67" i="46" s="1"/>
  <c r="J66" i="46"/>
  <c r="H66" i="46"/>
  <c r="G66" i="46"/>
  <c r="J65" i="46"/>
  <c r="H65" i="46"/>
  <c r="G65" i="46"/>
  <c r="AC64" i="46"/>
  <c r="AB64" i="46"/>
  <c r="AC63" i="46"/>
  <c r="AB63" i="46"/>
  <c r="J62" i="46"/>
  <c r="H62" i="46"/>
  <c r="G62" i="46"/>
  <c r="AC61" i="46"/>
  <c r="AB61" i="46"/>
  <c r="J60" i="46"/>
  <c r="H60" i="46"/>
  <c r="I60" i="46" s="1"/>
  <c r="G60" i="46"/>
  <c r="J59" i="46"/>
  <c r="H59" i="46"/>
  <c r="G59" i="46"/>
  <c r="W58" i="46"/>
  <c r="U58" i="46"/>
  <c r="J57" i="46"/>
  <c r="H57" i="46"/>
  <c r="G57" i="46"/>
  <c r="J56" i="46"/>
  <c r="H56" i="46"/>
  <c r="G56" i="46"/>
  <c r="J55" i="46"/>
  <c r="H55" i="46"/>
  <c r="G55" i="46"/>
  <c r="J54" i="46"/>
  <c r="H54" i="46"/>
  <c r="G54" i="46"/>
  <c r="U48" i="46"/>
  <c r="J53" i="46"/>
  <c r="H53" i="46"/>
  <c r="G53" i="46"/>
  <c r="AC52" i="46"/>
  <c r="AB52" i="46"/>
  <c r="J51" i="46"/>
  <c r="H51" i="46"/>
  <c r="G51" i="46"/>
  <c r="J50" i="46"/>
  <c r="H50" i="46"/>
  <c r="G50" i="46"/>
  <c r="J49" i="46"/>
  <c r="H49" i="46"/>
  <c r="G49" i="46"/>
  <c r="W48" i="46"/>
  <c r="Q46" i="46"/>
  <c r="H46" i="46" s="1"/>
  <c r="F33" i="46"/>
  <c r="F32" i="46"/>
  <c r="F31" i="46"/>
  <c r="F30" i="46"/>
  <c r="F29" i="46"/>
  <c r="F28" i="46"/>
  <c r="F27" i="46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" i="46"/>
  <c r="F4" i="46"/>
  <c r="F1" i="46"/>
  <c r="E55" i="32"/>
  <c r="E56" i="32"/>
  <c r="G27" i="32"/>
  <c r="G28" i="32"/>
  <c r="G29" i="32"/>
  <c r="G30" i="32"/>
  <c r="G31" i="32"/>
  <c r="G32" i="32"/>
  <c r="M52" i="40" s="1"/>
  <c r="G33" i="32"/>
  <c r="M53" i="40" s="1"/>
  <c r="G34" i="32"/>
  <c r="M54" i="40" s="1"/>
  <c r="G35" i="32"/>
  <c r="G36" i="32"/>
  <c r="G37" i="32"/>
  <c r="G38" i="32"/>
  <c r="M71" i="40" s="1"/>
  <c r="G39" i="32"/>
  <c r="G40" i="32"/>
  <c r="G41" i="32"/>
  <c r="G42" i="32"/>
  <c r="G43" i="32"/>
  <c r="G44" i="32"/>
  <c r="G45" i="32"/>
  <c r="G46" i="32"/>
  <c r="G47" i="32"/>
  <c r="G48" i="32"/>
  <c r="G49" i="32"/>
  <c r="G50" i="32"/>
  <c r="M67" i="40" s="1"/>
  <c r="G51" i="32"/>
  <c r="G52" i="32"/>
  <c r="G53" i="32"/>
  <c r="M68" i="40" s="1"/>
  <c r="G54" i="32"/>
  <c r="G55" i="32"/>
  <c r="G56" i="32"/>
  <c r="G57" i="32"/>
  <c r="G58" i="32"/>
  <c r="G59" i="32"/>
  <c r="M84" i="40" s="1"/>
  <c r="G60" i="32"/>
  <c r="G61" i="32"/>
  <c r="G62" i="32"/>
  <c r="M57" i="40" s="1"/>
  <c r="G63" i="32"/>
  <c r="G64" i="32"/>
  <c r="G65" i="32"/>
  <c r="F27" i="32"/>
  <c r="F26" i="32"/>
  <c r="G26" i="32"/>
  <c r="F65" i="32"/>
  <c r="F64" i="32"/>
  <c r="F63" i="32"/>
  <c r="L85" i="40" s="1"/>
  <c r="F62" i="32"/>
  <c r="F61" i="32"/>
  <c r="L87" i="40" s="1"/>
  <c r="F60" i="32"/>
  <c r="F59" i="32"/>
  <c r="F58" i="32"/>
  <c r="F57" i="32"/>
  <c r="L77" i="40" s="1"/>
  <c r="F56" i="32"/>
  <c r="F55" i="32"/>
  <c r="F54" i="32"/>
  <c r="F53" i="32"/>
  <c r="F52" i="32"/>
  <c r="L74" i="40" s="1"/>
  <c r="F51" i="32"/>
  <c r="F50" i="32"/>
  <c r="F49" i="32"/>
  <c r="F48" i="32"/>
  <c r="F47" i="32"/>
  <c r="F46" i="32"/>
  <c r="L64" i="40" s="1"/>
  <c r="F45" i="32"/>
  <c r="F44" i="32"/>
  <c r="F43" i="32"/>
  <c r="F42" i="32"/>
  <c r="F41" i="32"/>
  <c r="L61" i="40" s="1"/>
  <c r="F40" i="32"/>
  <c r="F39" i="32"/>
  <c r="L72" i="40" s="1"/>
  <c r="F38" i="32"/>
  <c r="F37" i="32"/>
  <c r="L59" i="40" s="1"/>
  <c r="F36" i="32"/>
  <c r="F35" i="32"/>
  <c r="F34" i="32"/>
  <c r="L54" i="40" s="1"/>
  <c r="F33" i="32"/>
  <c r="L53" i="40" s="1"/>
  <c r="F32" i="32"/>
  <c r="L52" i="40" s="1"/>
  <c r="F31" i="32"/>
  <c r="L80" i="40" s="1"/>
  <c r="F30" i="32"/>
  <c r="F29" i="32"/>
  <c r="L51" i="46" s="1"/>
  <c r="F28" i="32"/>
  <c r="E27" i="32"/>
  <c r="E28" i="32"/>
  <c r="E29" i="32"/>
  <c r="E30" i="32"/>
  <c r="E31" i="32"/>
  <c r="E32" i="32"/>
  <c r="K52" i="40" s="1"/>
  <c r="E33" i="32"/>
  <c r="K53" i="40" s="1"/>
  <c r="E34" i="32"/>
  <c r="K54" i="40" s="1"/>
  <c r="E35" i="32"/>
  <c r="E36" i="32"/>
  <c r="E37" i="32"/>
  <c r="E38" i="32"/>
  <c r="E39" i="32"/>
  <c r="E40" i="32"/>
  <c r="K60" i="40" s="1"/>
  <c r="E41" i="32"/>
  <c r="E42" i="32"/>
  <c r="E43" i="32"/>
  <c r="E44" i="32"/>
  <c r="K63" i="40" s="1"/>
  <c r="E45" i="32"/>
  <c r="E46" i="32"/>
  <c r="E47" i="32"/>
  <c r="E48" i="32"/>
  <c r="E49" i="32"/>
  <c r="E50" i="32"/>
  <c r="E51" i="32"/>
  <c r="K86" i="40" s="1"/>
  <c r="E52" i="32"/>
  <c r="E53" i="32"/>
  <c r="E54" i="32"/>
  <c r="E57" i="32"/>
  <c r="E58" i="32"/>
  <c r="E59" i="32"/>
  <c r="E60" i="32"/>
  <c r="K75" i="40" s="1"/>
  <c r="E61" i="32"/>
  <c r="E62" i="32"/>
  <c r="E63" i="32"/>
  <c r="E64" i="32"/>
  <c r="E65" i="32"/>
  <c r="E26" i="32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5" i="32"/>
  <c r="E22" i="32"/>
  <c r="M65" i="46" l="1"/>
  <c r="I71" i="46"/>
  <c r="AC86" i="46"/>
  <c r="AC67" i="46"/>
  <c r="J89" i="46"/>
  <c r="AC65" i="46"/>
  <c r="G70" i="46"/>
  <c r="J58" i="46"/>
  <c r="G76" i="46"/>
  <c r="K93" i="46"/>
  <c r="AB49" i="46"/>
  <c r="AC50" i="46"/>
  <c r="AC54" i="46"/>
  <c r="AB57" i="46"/>
  <c r="AC69" i="46"/>
  <c r="I75" i="46"/>
  <c r="AB77" i="46"/>
  <c r="J79" i="46"/>
  <c r="AB55" i="46"/>
  <c r="AC56" i="46"/>
  <c r="AB69" i="46"/>
  <c r="J70" i="46"/>
  <c r="I77" i="46"/>
  <c r="I80" i="46"/>
  <c r="AC49" i="46"/>
  <c r="J48" i="46"/>
  <c r="AB56" i="46"/>
  <c r="AC57" i="46"/>
  <c r="AB65" i="46"/>
  <c r="AC74" i="46"/>
  <c r="AC80" i="46"/>
  <c r="AC78" i="46"/>
  <c r="AC51" i="46"/>
  <c r="AB53" i="46"/>
  <c r="AB54" i="46"/>
  <c r="AC59" i="46"/>
  <c r="AC62" i="46"/>
  <c r="AB75" i="46"/>
  <c r="I78" i="46"/>
  <c r="G82" i="46"/>
  <c r="I90" i="46"/>
  <c r="M91" i="40"/>
  <c r="H70" i="46"/>
  <c r="I70" i="46" s="1"/>
  <c r="AB71" i="46"/>
  <c r="AB72" i="46"/>
  <c r="AB78" i="46"/>
  <c r="J82" i="46"/>
  <c r="AC53" i="46"/>
  <c r="AB60" i="46"/>
  <c r="I65" i="46"/>
  <c r="AC66" i="46"/>
  <c r="AC71" i="46"/>
  <c r="AB74" i="46"/>
  <c r="H79" i="46"/>
  <c r="G79" i="46"/>
  <c r="AB51" i="46"/>
  <c r="I53" i="46"/>
  <c r="I55" i="46"/>
  <c r="AB59" i="46"/>
  <c r="J76" i="46"/>
  <c r="AB83" i="46"/>
  <c r="K90" i="46"/>
  <c r="M93" i="46"/>
  <c r="M92" i="46"/>
  <c r="K62" i="46"/>
  <c r="K51" i="46"/>
  <c r="M69" i="46"/>
  <c r="M62" i="46"/>
  <c r="K49" i="46"/>
  <c r="K53" i="46"/>
  <c r="M52" i="46"/>
  <c r="K63" i="46"/>
  <c r="K86" i="46"/>
  <c r="L91" i="46"/>
  <c r="K65" i="46"/>
  <c r="L65" i="46"/>
  <c r="L49" i="46"/>
  <c r="L59" i="46"/>
  <c r="K81" i="40"/>
  <c r="K81" i="46"/>
  <c r="K69" i="40"/>
  <c r="K69" i="46"/>
  <c r="K64" i="40"/>
  <c r="K64" i="46"/>
  <c r="K71" i="40"/>
  <c r="K71" i="46"/>
  <c r="L56" i="40"/>
  <c r="L56" i="46"/>
  <c r="L81" i="40"/>
  <c r="L79" i="40" s="1"/>
  <c r="L81" i="46"/>
  <c r="K91" i="46"/>
  <c r="L90" i="46"/>
  <c r="L93" i="46"/>
  <c r="L92" i="46"/>
  <c r="K85" i="40"/>
  <c r="K85" i="46"/>
  <c r="K84" i="40"/>
  <c r="K84" i="46"/>
  <c r="K68" i="40"/>
  <c r="K68" i="46"/>
  <c r="K66" i="40"/>
  <c r="K66" i="46"/>
  <c r="K73" i="40"/>
  <c r="K73" i="46"/>
  <c r="K61" i="40"/>
  <c r="K61" i="46"/>
  <c r="K59" i="40"/>
  <c r="K59" i="46"/>
  <c r="L73" i="40"/>
  <c r="L73" i="46"/>
  <c r="L66" i="40"/>
  <c r="L66" i="46"/>
  <c r="L68" i="40"/>
  <c r="L68" i="46"/>
  <c r="L83" i="40"/>
  <c r="L83" i="46"/>
  <c r="M83" i="40"/>
  <c r="M82" i="40" s="1"/>
  <c r="M83" i="46"/>
  <c r="M87" i="40"/>
  <c r="M87" i="46"/>
  <c r="M77" i="40"/>
  <c r="M77" i="46"/>
  <c r="M66" i="40"/>
  <c r="M66" i="46"/>
  <c r="M73" i="40"/>
  <c r="M73" i="46"/>
  <c r="M61" i="40"/>
  <c r="M61" i="46"/>
  <c r="M59" i="40"/>
  <c r="M59" i="46"/>
  <c r="M51" i="40"/>
  <c r="K52" i="46"/>
  <c r="L53" i="46"/>
  <c r="K54" i="46"/>
  <c r="L64" i="46"/>
  <c r="L74" i="46"/>
  <c r="L80" i="46"/>
  <c r="M84" i="46"/>
  <c r="L87" i="46"/>
  <c r="L75" i="40"/>
  <c r="L75" i="46"/>
  <c r="K49" i="40"/>
  <c r="K57" i="40"/>
  <c r="K57" i="46"/>
  <c r="K78" i="40"/>
  <c r="K78" i="46"/>
  <c r="K74" i="40"/>
  <c r="K74" i="46"/>
  <c r="K56" i="40"/>
  <c r="K56" i="46"/>
  <c r="L71" i="40"/>
  <c r="L71" i="46"/>
  <c r="L62" i="40"/>
  <c r="L62" i="46"/>
  <c r="L67" i="40"/>
  <c r="L67" i="46"/>
  <c r="L69" i="40"/>
  <c r="L69" i="46"/>
  <c r="L78" i="40"/>
  <c r="L76" i="40" s="1"/>
  <c r="L78" i="46"/>
  <c r="L57" i="40"/>
  <c r="L57" i="46"/>
  <c r="G66" i="32"/>
  <c r="M81" i="40"/>
  <c r="M81" i="46"/>
  <c r="M75" i="40"/>
  <c r="M75" i="46"/>
  <c r="M74" i="40"/>
  <c r="M74" i="46"/>
  <c r="M63" i="40"/>
  <c r="M63" i="46"/>
  <c r="M60" i="40"/>
  <c r="M60" i="46"/>
  <c r="M56" i="40"/>
  <c r="M56" i="46"/>
  <c r="M51" i="46"/>
  <c r="L52" i="46"/>
  <c r="M53" i="46"/>
  <c r="L54" i="46"/>
  <c r="K60" i="46"/>
  <c r="L61" i="46"/>
  <c r="M67" i="46"/>
  <c r="M71" i="46"/>
  <c r="L77" i="46"/>
  <c r="L76" i="46" s="1"/>
  <c r="L85" i="46"/>
  <c r="M91" i="46"/>
  <c r="K67" i="40"/>
  <c r="K67" i="46"/>
  <c r="L60" i="40"/>
  <c r="L60" i="46"/>
  <c r="L63" i="40"/>
  <c r="L63" i="46"/>
  <c r="M78" i="40"/>
  <c r="M78" i="46"/>
  <c r="M64" i="40"/>
  <c r="M64" i="46"/>
  <c r="K92" i="46"/>
  <c r="M90" i="46"/>
  <c r="K83" i="40"/>
  <c r="K83" i="46"/>
  <c r="K87" i="40"/>
  <c r="K87" i="46"/>
  <c r="K77" i="40"/>
  <c r="K77" i="46"/>
  <c r="K72" i="40"/>
  <c r="K72" i="46"/>
  <c r="K55" i="40"/>
  <c r="K55" i="46"/>
  <c r="K80" i="40"/>
  <c r="K80" i="46"/>
  <c r="L55" i="40"/>
  <c r="L55" i="46"/>
  <c r="L65" i="40"/>
  <c r="L86" i="40"/>
  <c r="L86" i="46"/>
  <c r="L84" i="40"/>
  <c r="L84" i="46"/>
  <c r="L49" i="40"/>
  <c r="M85" i="40"/>
  <c r="M85" i="46"/>
  <c r="M86" i="40"/>
  <c r="M86" i="46"/>
  <c r="M72" i="40"/>
  <c r="M72" i="46"/>
  <c r="M55" i="40"/>
  <c r="M55" i="46"/>
  <c r="M80" i="40"/>
  <c r="M80" i="46"/>
  <c r="M49" i="46"/>
  <c r="M54" i="46"/>
  <c r="M57" i="46"/>
  <c r="M68" i="46"/>
  <c r="L72" i="46"/>
  <c r="K75" i="46"/>
  <c r="F3" i="46"/>
  <c r="W88" i="46"/>
  <c r="W94" i="46" s="1"/>
  <c r="U88" i="46"/>
  <c r="U94" i="46" s="1"/>
  <c r="G48" i="46"/>
  <c r="I56" i="46"/>
  <c r="G58" i="46"/>
  <c r="AC60" i="46"/>
  <c r="I62" i="46"/>
  <c r="I66" i="46"/>
  <c r="AC83" i="46"/>
  <c r="I83" i="46"/>
  <c r="H82" i="46"/>
  <c r="AB84" i="46"/>
  <c r="AC90" i="46"/>
  <c r="H48" i="46"/>
  <c r="I49" i="46"/>
  <c r="AB50" i="46"/>
  <c r="I51" i="46"/>
  <c r="I54" i="46"/>
  <c r="AC55" i="46"/>
  <c r="I57" i="46"/>
  <c r="H58" i="46"/>
  <c r="I59" i="46"/>
  <c r="AB62" i="46"/>
  <c r="AB66" i="46"/>
  <c r="I67" i="46"/>
  <c r="I69" i="46"/>
  <c r="AC81" i="46"/>
  <c r="AB81" i="46"/>
  <c r="I81" i="46"/>
  <c r="AC84" i="46"/>
  <c r="I84" i="46"/>
  <c r="I50" i="46"/>
  <c r="AC72" i="46"/>
  <c r="I72" i="46"/>
  <c r="AC85" i="46"/>
  <c r="AB85" i="46"/>
  <c r="I85" i="46"/>
  <c r="AB86" i="46"/>
  <c r="I86" i="46"/>
  <c r="AC75" i="46"/>
  <c r="AC77" i="46"/>
  <c r="AB80" i="46"/>
  <c r="AC91" i="46"/>
  <c r="H76" i="46"/>
  <c r="I76" i="46" s="1"/>
  <c r="H89" i="46"/>
  <c r="K51" i="40"/>
  <c r="K91" i="40"/>
  <c r="L93" i="40"/>
  <c r="K93" i="40"/>
  <c r="L91" i="40"/>
  <c r="M65" i="40"/>
  <c r="K90" i="40"/>
  <c r="M93" i="40"/>
  <c r="M92" i="40"/>
  <c r="K62" i="40"/>
  <c r="M69" i="40"/>
  <c r="M62" i="40"/>
  <c r="K92" i="40"/>
  <c r="M90" i="40"/>
  <c r="K65" i="40"/>
  <c r="L90" i="40"/>
  <c r="L92" i="40"/>
  <c r="L51" i="40"/>
  <c r="E68" i="32"/>
  <c r="G68" i="32"/>
  <c r="E66" i="32"/>
  <c r="F68" i="32"/>
  <c r="F66" i="32"/>
  <c r="M49" i="40"/>
  <c r="AB70" i="46" l="1"/>
  <c r="AB48" i="46"/>
  <c r="J88" i="46"/>
  <c r="J94" i="46" s="1"/>
  <c r="AB76" i="46"/>
  <c r="AC79" i="46"/>
  <c r="AC76" i="46"/>
  <c r="AC82" i="46"/>
  <c r="AB82" i="46"/>
  <c r="I82" i="46"/>
  <c r="L79" i="46"/>
  <c r="L82" i="40"/>
  <c r="AC48" i="46"/>
  <c r="K70" i="46"/>
  <c r="M79" i="40"/>
  <c r="K79" i="46"/>
  <c r="M89" i="46"/>
  <c r="K48" i="40"/>
  <c r="M70" i="40"/>
  <c r="L70" i="40"/>
  <c r="AB79" i="46"/>
  <c r="AC89" i="46"/>
  <c r="I79" i="46"/>
  <c r="I58" i="46"/>
  <c r="AC58" i="46"/>
  <c r="M76" i="40"/>
  <c r="M58" i="40"/>
  <c r="K89" i="40"/>
  <c r="M79" i="46"/>
  <c r="L48" i="40"/>
  <c r="K58" i="40"/>
  <c r="K76" i="46"/>
  <c r="K82" i="46"/>
  <c r="L70" i="46"/>
  <c r="K48" i="46"/>
  <c r="L89" i="46"/>
  <c r="K76" i="40"/>
  <c r="K82" i="40"/>
  <c r="L58" i="40"/>
  <c r="M70" i="46"/>
  <c r="K70" i="40"/>
  <c r="K89" i="46"/>
  <c r="M48" i="40"/>
  <c r="M48" i="46"/>
  <c r="L58" i="46"/>
  <c r="M58" i="46"/>
  <c r="M76" i="46"/>
  <c r="M82" i="46"/>
  <c r="G70" i="32"/>
  <c r="F70" i="32"/>
  <c r="K79" i="40"/>
  <c r="L82" i="46"/>
  <c r="K58" i="46"/>
  <c r="L48" i="46"/>
  <c r="AC70" i="46"/>
  <c r="AB58" i="46"/>
  <c r="I48" i="46"/>
  <c r="H88" i="46"/>
  <c r="H94" i="46" s="1"/>
  <c r="G88" i="46"/>
  <c r="G94" i="46" s="1"/>
  <c r="I89" i="46"/>
  <c r="L89" i="40"/>
  <c r="M89" i="40"/>
  <c r="E70" i="32"/>
  <c r="AC88" i="46" l="1"/>
  <c r="AC94" i="46" s="1"/>
  <c r="K88" i="46"/>
  <c r="K94" i="46" s="1"/>
  <c r="L88" i="40"/>
  <c r="L94" i="40" s="1"/>
  <c r="AB88" i="46"/>
  <c r="AB94" i="46" s="1"/>
  <c r="M88" i="40"/>
  <c r="M94" i="40" s="1"/>
  <c r="M88" i="46"/>
  <c r="M94" i="46" s="1"/>
  <c r="K88" i="40"/>
  <c r="K94" i="40" s="1"/>
  <c r="L88" i="46"/>
  <c r="L94" i="46" s="1"/>
  <c r="I88" i="46"/>
  <c r="I94" i="46"/>
  <c r="U53" i="40"/>
  <c r="AH67" i="40" l="1"/>
  <c r="AG67" i="40" l="1"/>
  <c r="W20" i="32"/>
  <c r="W55" i="32" l="1"/>
  <c r="W56" i="32"/>
  <c r="V55" i="32"/>
  <c r="V56" i="32"/>
  <c r="Q55" i="32"/>
  <c r="Q56" i="32"/>
  <c r="N55" i="32"/>
  <c r="N56" i="32"/>
  <c r="I55" i="32"/>
  <c r="I56" i="32"/>
  <c r="H55" i="32"/>
  <c r="H56" i="32"/>
  <c r="W35" i="32"/>
  <c r="Y55" i="46" s="1"/>
  <c r="V35" i="32"/>
  <c r="Q35" i="32"/>
  <c r="S55" i="46" s="1"/>
  <c r="AA55" i="46" s="1"/>
  <c r="N35" i="32"/>
  <c r="Q55" i="46" s="1"/>
  <c r="I35" i="32"/>
  <c r="P55" i="46" s="1"/>
  <c r="H35" i="32"/>
  <c r="N55" i="46" s="1"/>
  <c r="W11" i="32"/>
  <c r="V11" i="32"/>
  <c r="Q11" i="32"/>
  <c r="N11" i="32"/>
  <c r="H11" i="32"/>
  <c r="R55" i="46" l="1"/>
  <c r="T55" i="46"/>
  <c r="Y55" i="40"/>
  <c r="U55" i="32"/>
  <c r="P56" i="32"/>
  <c r="U56" i="32"/>
  <c r="P55" i="32"/>
  <c r="Q55" i="40"/>
  <c r="Z55" i="40" s="1"/>
  <c r="S55" i="40"/>
  <c r="N55" i="40"/>
  <c r="P55" i="40"/>
  <c r="P35" i="32"/>
  <c r="U35" i="32"/>
  <c r="P11" i="32"/>
  <c r="U11" i="32"/>
  <c r="AA55" i="40" l="1"/>
  <c r="R55" i="40"/>
  <c r="T55" i="40"/>
  <c r="V19" i="32"/>
  <c r="V20" i="32"/>
  <c r="W82" i="40" l="1"/>
  <c r="N20" i="32" l="1"/>
  <c r="N19" i="32"/>
  <c r="Q20" i="32"/>
  <c r="Q19" i="32"/>
  <c r="S93" i="46" l="1"/>
  <c r="AA93" i="46" s="1"/>
  <c r="Q93" i="46"/>
  <c r="Z93" i="46" s="1"/>
  <c r="J57" i="40"/>
  <c r="J56" i="40"/>
  <c r="J55" i="40"/>
  <c r="J54" i="40"/>
  <c r="J53" i="40"/>
  <c r="J51" i="40"/>
  <c r="J50" i="40"/>
  <c r="J49" i="40"/>
  <c r="H57" i="40"/>
  <c r="H56" i="40"/>
  <c r="H55" i="40"/>
  <c r="H54" i="40"/>
  <c r="H53" i="40"/>
  <c r="H51" i="40"/>
  <c r="H50" i="40"/>
  <c r="H49" i="40"/>
  <c r="G57" i="40"/>
  <c r="G56" i="40"/>
  <c r="G55" i="40"/>
  <c r="AB55" i="40" s="1"/>
  <c r="G54" i="40"/>
  <c r="G53" i="40"/>
  <c r="G51" i="40"/>
  <c r="AB51" i="40" s="1"/>
  <c r="G50" i="40"/>
  <c r="G49" i="40"/>
  <c r="AB49" i="40" s="1"/>
  <c r="C2" i="41"/>
  <c r="AC92" i="40"/>
  <c r="AC93" i="40"/>
  <c r="AB92" i="40"/>
  <c r="AB93" i="40"/>
  <c r="AC73" i="40"/>
  <c r="AB73" i="40"/>
  <c r="AC61" i="40"/>
  <c r="AC63" i="40"/>
  <c r="AC64" i="40"/>
  <c r="AC68" i="40"/>
  <c r="AB61" i="40"/>
  <c r="AB63" i="40"/>
  <c r="AB64" i="40"/>
  <c r="AB68" i="40"/>
  <c r="AC52" i="40"/>
  <c r="AB52" i="40"/>
  <c r="J87" i="40"/>
  <c r="J86" i="40"/>
  <c r="H86" i="40"/>
  <c r="G86" i="40"/>
  <c r="J85" i="40"/>
  <c r="H85" i="40"/>
  <c r="G85" i="40"/>
  <c r="J83" i="40"/>
  <c r="H83" i="40"/>
  <c r="G83" i="40"/>
  <c r="J91" i="40"/>
  <c r="H91" i="40"/>
  <c r="G91" i="40"/>
  <c r="J90" i="40"/>
  <c r="H90" i="40"/>
  <c r="G90" i="40"/>
  <c r="J81" i="40"/>
  <c r="H81" i="40"/>
  <c r="G81" i="40"/>
  <c r="J80" i="40"/>
  <c r="H80" i="40"/>
  <c r="G80" i="40"/>
  <c r="J78" i="40"/>
  <c r="H78" i="40"/>
  <c r="G78" i="40"/>
  <c r="J77" i="40"/>
  <c r="H77" i="40"/>
  <c r="G77" i="40"/>
  <c r="J75" i="40"/>
  <c r="H75" i="40"/>
  <c r="G75" i="40"/>
  <c r="J84" i="40"/>
  <c r="H84" i="40"/>
  <c r="G84" i="40"/>
  <c r="J74" i="40"/>
  <c r="H74" i="40"/>
  <c r="G74" i="40"/>
  <c r="J72" i="40"/>
  <c r="H72" i="40"/>
  <c r="G72" i="40"/>
  <c r="J71" i="40"/>
  <c r="H71" i="40"/>
  <c r="G71" i="40"/>
  <c r="J69" i="40"/>
  <c r="H69" i="40"/>
  <c r="G69" i="40"/>
  <c r="J67" i="40"/>
  <c r="H67" i="40"/>
  <c r="G67" i="40"/>
  <c r="J66" i="40"/>
  <c r="H66" i="40"/>
  <c r="G66" i="40"/>
  <c r="J65" i="40"/>
  <c r="H65" i="40"/>
  <c r="G65" i="40"/>
  <c r="J62" i="40"/>
  <c r="H62" i="40"/>
  <c r="G62" i="40"/>
  <c r="J60" i="40"/>
  <c r="H60" i="40"/>
  <c r="G60" i="40"/>
  <c r="J59" i="40"/>
  <c r="H59" i="40"/>
  <c r="G59" i="40"/>
  <c r="I20" i="32"/>
  <c r="I19" i="32"/>
  <c r="U82" i="40"/>
  <c r="H42" i="32"/>
  <c r="W6" i="32"/>
  <c r="W7" i="32"/>
  <c r="W8" i="32"/>
  <c r="W9" i="32"/>
  <c r="W10" i="32"/>
  <c r="W12" i="32"/>
  <c r="W13" i="32"/>
  <c r="W14" i="32"/>
  <c r="W15" i="32"/>
  <c r="W16" i="32"/>
  <c r="W17" i="32"/>
  <c r="W18" i="32"/>
  <c r="W19" i="32"/>
  <c r="Y93" i="46" s="1"/>
  <c r="W21" i="32"/>
  <c r="W22" i="32"/>
  <c r="W5" i="32"/>
  <c r="V6" i="32"/>
  <c r="V7" i="32"/>
  <c r="V8" i="32"/>
  <c r="V9" i="32"/>
  <c r="V10" i="32"/>
  <c r="V12" i="32"/>
  <c r="V13" i="32"/>
  <c r="V14" i="32"/>
  <c r="V15" i="32"/>
  <c r="V16" i="32"/>
  <c r="V17" i="32"/>
  <c r="V18" i="32"/>
  <c r="V21" i="32"/>
  <c r="V22" i="32"/>
  <c r="V5" i="32"/>
  <c r="Q6" i="32"/>
  <c r="Q7" i="32"/>
  <c r="Q8" i="32"/>
  <c r="Q9" i="32"/>
  <c r="R9" i="32" s="1"/>
  <c r="S9" i="32" s="1"/>
  <c r="T9" i="32" s="1"/>
  <c r="Q10" i="32"/>
  <c r="Q12" i="32"/>
  <c r="Q13" i="32"/>
  <c r="Q14" i="32"/>
  <c r="Q15" i="32"/>
  <c r="Q16" i="32"/>
  <c r="Q17" i="32"/>
  <c r="Q18" i="32"/>
  <c r="S93" i="40"/>
  <c r="AA93" i="40" s="1"/>
  <c r="Q21" i="32"/>
  <c r="Q22" i="32"/>
  <c r="Q5" i="32"/>
  <c r="N6" i="32"/>
  <c r="N7" i="32"/>
  <c r="N8" i="32"/>
  <c r="N9" i="32"/>
  <c r="N10" i="32"/>
  <c r="N12" i="32"/>
  <c r="N13" i="32"/>
  <c r="N14" i="32"/>
  <c r="N15" i="32"/>
  <c r="N16" i="32"/>
  <c r="N17" i="32"/>
  <c r="N18" i="32"/>
  <c r="N21" i="32"/>
  <c r="N22" i="32"/>
  <c r="N5" i="32"/>
  <c r="I6" i="32"/>
  <c r="I7" i="32"/>
  <c r="I8" i="32"/>
  <c r="I9" i="32"/>
  <c r="I10" i="32"/>
  <c r="I12" i="32"/>
  <c r="I13" i="32"/>
  <c r="I14" i="32"/>
  <c r="I15" i="32"/>
  <c r="I16" i="32"/>
  <c r="I17" i="32"/>
  <c r="I18" i="32"/>
  <c r="I21" i="32"/>
  <c r="I22" i="32"/>
  <c r="I5" i="32"/>
  <c r="V27" i="32"/>
  <c r="V28" i="32"/>
  <c r="V29" i="32"/>
  <c r="V30" i="32"/>
  <c r="V31" i="32"/>
  <c r="V32" i="32"/>
  <c r="V33" i="32"/>
  <c r="V34" i="32"/>
  <c r="V36" i="32"/>
  <c r="V37" i="32"/>
  <c r="V38" i="32"/>
  <c r="V39" i="32"/>
  <c r="V40" i="32"/>
  <c r="V41" i="32"/>
  <c r="V42" i="32"/>
  <c r="V43" i="32"/>
  <c r="V44" i="32"/>
  <c r="V45" i="32"/>
  <c r="V46" i="32"/>
  <c r="V47" i="32"/>
  <c r="V48" i="32"/>
  <c r="V49" i="32"/>
  <c r="V50" i="32"/>
  <c r="V51" i="32"/>
  <c r="V52" i="32"/>
  <c r="V53" i="32"/>
  <c r="V54" i="32"/>
  <c r="V57" i="32"/>
  <c r="V58" i="32"/>
  <c r="V59" i="32"/>
  <c r="V60" i="32"/>
  <c r="V61" i="32"/>
  <c r="V62" i="32"/>
  <c r="V63" i="32"/>
  <c r="V64" i="32"/>
  <c r="V65" i="32"/>
  <c r="V26" i="32"/>
  <c r="Q27" i="32"/>
  <c r="Q28" i="32"/>
  <c r="Q29" i="32"/>
  <c r="Q30" i="32"/>
  <c r="Q31" i="32"/>
  <c r="S80" i="46" s="1"/>
  <c r="Q32" i="32"/>
  <c r="S52" i="46" s="1"/>
  <c r="Q33" i="32"/>
  <c r="S53" i="46" s="1"/>
  <c r="Q34" i="32"/>
  <c r="S54" i="46" s="1"/>
  <c r="Q36" i="32"/>
  <c r="S56" i="46" s="1"/>
  <c r="Q37" i="32"/>
  <c r="S59" i="46" s="1"/>
  <c r="Q38" i="32"/>
  <c r="S71" i="46" s="1"/>
  <c r="Q39" i="32"/>
  <c r="S72" i="46" s="1"/>
  <c r="Q40" i="32"/>
  <c r="S60" i="46" s="1"/>
  <c r="Q41" i="32"/>
  <c r="S61" i="46" s="1"/>
  <c r="Q42" i="32"/>
  <c r="Q43" i="32"/>
  <c r="Q44" i="32"/>
  <c r="S63" i="46" s="1"/>
  <c r="Q45" i="32"/>
  <c r="S73" i="46" s="1"/>
  <c r="Q46" i="32"/>
  <c r="S64" i="46" s="1"/>
  <c r="Q47" i="32"/>
  <c r="Q48" i="32"/>
  <c r="Q49" i="32"/>
  <c r="S66" i="46" s="1"/>
  <c r="Q50" i="32"/>
  <c r="S67" i="46" s="1"/>
  <c r="Q51" i="32"/>
  <c r="S86" i="46" s="1"/>
  <c r="Q52" i="32"/>
  <c r="S74" i="46" s="1"/>
  <c r="Q53" i="32"/>
  <c r="S68" i="46" s="1"/>
  <c r="Q54" i="32"/>
  <c r="S69" i="46" s="1"/>
  <c r="Q57" i="32"/>
  <c r="S77" i="46" s="1"/>
  <c r="Q58" i="32"/>
  <c r="S78" i="46" s="1"/>
  <c r="Q59" i="32"/>
  <c r="S84" i="46" s="1"/>
  <c r="Q60" i="32"/>
  <c r="S75" i="46" s="1"/>
  <c r="Q61" i="32"/>
  <c r="S87" i="46" s="1"/>
  <c r="Q62" i="32"/>
  <c r="S57" i="46" s="1"/>
  <c r="Q63" i="32"/>
  <c r="S85" i="46" s="1"/>
  <c r="Q64" i="32"/>
  <c r="S81" i="46" s="1"/>
  <c r="Q65" i="32"/>
  <c r="S83" i="46" s="1"/>
  <c r="Q26" i="32"/>
  <c r="I65" i="32"/>
  <c r="P83" i="46" s="1"/>
  <c r="I27" i="32"/>
  <c r="I28" i="32"/>
  <c r="I29" i="32"/>
  <c r="P51" i="46" s="1"/>
  <c r="I30" i="32"/>
  <c r="I31" i="32"/>
  <c r="P80" i="46" s="1"/>
  <c r="I32" i="32"/>
  <c r="P52" i="46" s="1"/>
  <c r="I33" i="32"/>
  <c r="P53" i="46" s="1"/>
  <c r="I34" i="32"/>
  <c r="P54" i="46" s="1"/>
  <c r="I36" i="32"/>
  <c r="P56" i="46" s="1"/>
  <c r="I37" i="32"/>
  <c r="P59" i="46" s="1"/>
  <c r="I38" i="32"/>
  <c r="P71" i="46" s="1"/>
  <c r="I39" i="32"/>
  <c r="P72" i="46" s="1"/>
  <c r="I40" i="32"/>
  <c r="P60" i="46" s="1"/>
  <c r="I41" i="32"/>
  <c r="P61" i="46" s="1"/>
  <c r="I42" i="32"/>
  <c r="P62" i="46" s="1"/>
  <c r="I43" i="32"/>
  <c r="I44" i="32"/>
  <c r="P63" i="46" s="1"/>
  <c r="I45" i="32"/>
  <c r="P73" i="46" s="1"/>
  <c r="I46" i="32"/>
  <c r="P64" i="46" s="1"/>
  <c r="I47" i="32"/>
  <c r="I48" i="32"/>
  <c r="I49" i="32"/>
  <c r="P66" i="46" s="1"/>
  <c r="I50" i="32"/>
  <c r="P67" i="46" s="1"/>
  <c r="I51" i="32"/>
  <c r="P86" i="46" s="1"/>
  <c r="I52" i="32"/>
  <c r="P74" i="46" s="1"/>
  <c r="I53" i="32"/>
  <c r="P68" i="46" s="1"/>
  <c r="I54" i="32"/>
  <c r="P69" i="46" s="1"/>
  <c r="I57" i="32"/>
  <c r="P77" i="46" s="1"/>
  <c r="I58" i="32"/>
  <c r="P78" i="46" s="1"/>
  <c r="I59" i="32"/>
  <c r="P84" i="46" s="1"/>
  <c r="I60" i="32"/>
  <c r="P75" i="46" s="1"/>
  <c r="I61" i="32"/>
  <c r="P87" i="46" s="1"/>
  <c r="I62" i="32"/>
  <c r="P57" i="46" s="1"/>
  <c r="I63" i="32"/>
  <c r="P85" i="46" s="1"/>
  <c r="I64" i="32"/>
  <c r="P81" i="46" s="1"/>
  <c r="I26" i="32"/>
  <c r="W65" i="32"/>
  <c r="Y83" i="46" s="1"/>
  <c r="W27" i="32"/>
  <c r="W28" i="32"/>
  <c r="W29" i="32"/>
  <c r="Y51" i="46" s="1"/>
  <c r="W30" i="32"/>
  <c r="W31" i="32"/>
  <c r="Y80" i="46" s="1"/>
  <c r="W32" i="32"/>
  <c r="Y52" i="46" s="1"/>
  <c r="W33" i="32"/>
  <c r="Y53" i="46" s="1"/>
  <c r="W34" i="32"/>
  <c r="Y54" i="46" s="1"/>
  <c r="W36" i="32"/>
  <c r="Y56" i="46" s="1"/>
  <c r="W37" i="32"/>
  <c r="Y59" i="46" s="1"/>
  <c r="W38" i="32"/>
  <c r="Y71" i="46" s="1"/>
  <c r="W39" i="32"/>
  <c r="Y72" i="46" s="1"/>
  <c r="W40" i="32"/>
  <c r="Y60" i="46" s="1"/>
  <c r="W41" i="32"/>
  <c r="Y61" i="46" s="1"/>
  <c r="W42" i="32"/>
  <c r="W43" i="32"/>
  <c r="W44" i="32"/>
  <c r="Y63" i="46" s="1"/>
  <c r="W45" i="32"/>
  <c r="Y73" i="46" s="1"/>
  <c r="W46" i="32"/>
  <c r="Y64" i="46" s="1"/>
  <c r="W47" i="32"/>
  <c r="W48" i="32"/>
  <c r="W49" i="32"/>
  <c r="Y66" i="46" s="1"/>
  <c r="W50" i="32"/>
  <c r="Y67" i="46" s="1"/>
  <c r="W51" i="32"/>
  <c r="Y86" i="46" s="1"/>
  <c r="W52" i="32"/>
  <c r="Y74" i="46" s="1"/>
  <c r="W53" i="32"/>
  <c r="Y68" i="46" s="1"/>
  <c r="W54" i="32"/>
  <c r="Y69" i="46" s="1"/>
  <c r="W57" i="32"/>
  <c r="Y77" i="46" s="1"/>
  <c r="W58" i="32"/>
  <c r="Y78" i="46" s="1"/>
  <c r="W59" i="32"/>
  <c r="Y84" i="46" s="1"/>
  <c r="W60" i="32"/>
  <c r="Y75" i="46" s="1"/>
  <c r="W61" i="32"/>
  <c r="Y87" i="46" s="1"/>
  <c r="W62" i="32"/>
  <c r="Y57" i="46" s="1"/>
  <c r="W63" i="32"/>
  <c r="Y85" i="46" s="1"/>
  <c r="W64" i="32"/>
  <c r="Y81" i="46" s="1"/>
  <c r="W26" i="32"/>
  <c r="N65" i="32"/>
  <c r="Q83" i="46" s="1"/>
  <c r="N27" i="32"/>
  <c r="N28" i="32"/>
  <c r="N29" i="32"/>
  <c r="N30" i="32"/>
  <c r="N31" i="32"/>
  <c r="Q80" i="46" s="1"/>
  <c r="N32" i="32"/>
  <c r="Q52" i="46" s="1"/>
  <c r="N33" i="32"/>
  <c r="Q53" i="46" s="1"/>
  <c r="N34" i="32"/>
  <c r="Q54" i="46" s="1"/>
  <c r="N36" i="32"/>
  <c r="Q56" i="46" s="1"/>
  <c r="N37" i="32"/>
  <c r="Q59" i="46" s="1"/>
  <c r="N38" i="32"/>
  <c r="Q71" i="46" s="1"/>
  <c r="N39" i="32"/>
  <c r="Q72" i="46" s="1"/>
  <c r="N40" i="32"/>
  <c r="Q60" i="46" s="1"/>
  <c r="N41" i="32"/>
  <c r="Q61" i="46" s="1"/>
  <c r="N42" i="32"/>
  <c r="N43" i="32"/>
  <c r="N44" i="32"/>
  <c r="Q63" i="46" s="1"/>
  <c r="N45" i="32"/>
  <c r="Q73" i="46" s="1"/>
  <c r="N46" i="32"/>
  <c r="Q64" i="46" s="1"/>
  <c r="N47" i="32"/>
  <c r="N48" i="32"/>
  <c r="N49" i="32"/>
  <c r="Q66" i="46" s="1"/>
  <c r="N50" i="32"/>
  <c r="Q67" i="46" s="1"/>
  <c r="N51" i="32"/>
  <c r="Q86" i="46" s="1"/>
  <c r="N52" i="32"/>
  <c r="Q74" i="46" s="1"/>
  <c r="N53" i="32"/>
  <c r="Q68" i="46" s="1"/>
  <c r="N54" i="32"/>
  <c r="Q69" i="46" s="1"/>
  <c r="N57" i="32"/>
  <c r="Q77" i="46" s="1"/>
  <c r="N58" i="32"/>
  <c r="Q78" i="46" s="1"/>
  <c r="N59" i="32"/>
  <c r="Q84" i="46" s="1"/>
  <c r="N60" i="32"/>
  <c r="Q75" i="46" s="1"/>
  <c r="N61" i="32"/>
  <c r="Q87" i="46" s="1"/>
  <c r="N62" i="32"/>
  <c r="Q57" i="46" s="1"/>
  <c r="N63" i="32"/>
  <c r="Q85" i="46" s="1"/>
  <c r="N64" i="32"/>
  <c r="Q81" i="46" s="1"/>
  <c r="N26" i="32"/>
  <c r="H26" i="32"/>
  <c r="H30" i="32"/>
  <c r="H65" i="32"/>
  <c r="N83" i="46" s="1"/>
  <c r="H29" i="32"/>
  <c r="Q46" i="40"/>
  <c r="H46" i="40" s="1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F4" i="40"/>
  <c r="F1" i="40"/>
  <c r="O6" i="32"/>
  <c r="O7" i="32"/>
  <c r="O8" i="32"/>
  <c r="O9" i="32"/>
  <c r="P9" i="32" s="1"/>
  <c r="O10" i="32"/>
  <c r="O12" i="32"/>
  <c r="O13" i="32"/>
  <c r="O14" i="32"/>
  <c r="O15" i="32"/>
  <c r="O16" i="32"/>
  <c r="O17" i="32"/>
  <c r="O18" i="32"/>
  <c r="O19" i="32"/>
  <c r="O20" i="32"/>
  <c r="O21" i="32"/>
  <c r="O22" i="32"/>
  <c r="L28" i="32"/>
  <c r="L29" i="32"/>
  <c r="L31" i="32"/>
  <c r="L32" i="32"/>
  <c r="L33" i="32"/>
  <c r="L34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7" i="32"/>
  <c r="L58" i="32"/>
  <c r="L59" i="32"/>
  <c r="L60" i="32"/>
  <c r="L61" i="32"/>
  <c r="L62" i="32"/>
  <c r="L63" i="32"/>
  <c r="L64" i="32"/>
  <c r="L27" i="32"/>
  <c r="L26" i="32"/>
  <c r="L20" i="32"/>
  <c r="L19" i="32"/>
  <c r="H20" i="32"/>
  <c r="H19" i="32"/>
  <c r="M20" i="32"/>
  <c r="M19" i="32"/>
  <c r="M16" i="32"/>
  <c r="M17" i="32"/>
  <c r="M18" i="32"/>
  <c r="M15" i="32"/>
  <c r="M14" i="32"/>
  <c r="M13" i="32"/>
  <c r="O5" i="32"/>
  <c r="M12" i="32"/>
  <c r="M10" i="32"/>
  <c r="M9" i="32"/>
  <c r="M8" i="32"/>
  <c r="M7" i="32"/>
  <c r="M6" i="32"/>
  <c r="M5" i="32"/>
  <c r="J29" i="32"/>
  <c r="K29" i="32" s="1"/>
  <c r="J31" i="32"/>
  <c r="K31" i="32" s="1"/>
  <c r="J32" i="32"/>
  <c r="K32" i="32" s="1"/>
  <c r="J33" i="32"/>
  <c r="K33" i="32" s="1"/>
  <c r="J34" i="32"/>
  <c r="K34" i="32" s="1"/>
  <c r="J36" i="32"/>
  <c r="K36" i="32" s="1"/>
  <c r="J37" i="32"/>
  <c r="K37" i="32" s="1"/>
  <c r="J38" i="32"/>
  <c r="K38" i="32" s="1"/>
  <c r="J39" i="32"/>
  <c r="K39" i="32" s="1"/>
  <c r="J40" i="32"/>
  <c r="K40" i="32" s="1"/>
  <c r="J41" i="32"/>
  <c r="K41" i="32" s="1"/>
  <c r="J42" i="32"/>
  <c r="K42" i="32" s="1"/>
  <c r="J43" i="32"/>
  <c r="K43" i="32" s="1"/>
  <c r="J44" i="32"/>
  <c r="K44" i="32" s="1"/>
  <c r="J45" i="32"/>
  <c r="K45" i="32" s="1"/>
  <c r="J46" i="32"/>
  <c r="K46" i="32" s="1"/>
  <c r="J47" i="32"/>
  <c r="K47" i="32" s="1"/>
  <c r="J48" i="32"/>
  <c r="K48" i="32" s="1"/>
  <c r="J49" i="32"/>
  <c r="K49" i="32" s="1"/>
  <c r="J50" i="32"/>
  <c r="K50" i="32" s="1"/>
  <c r="J51" i="32"/>
  <c r="K51" i="32" s="1"/>
  <c r="J52" i="32"/>
  <c r="K52" i="32" s="1"/>
  <c r="J53" i="32"/>
  <c r="K53" i="32" s="1"/>
  <c r="J54" i="32"/>
  <c r="K54" i="32" s="1"/>
  <c r="J57" i="32"/>
  <c r="K57" i="32" s="1"/>
  <c r="J58" i="32"/>
  <c r="K58" i="32" s="1"/>
  <c r="J59" i="32"/>
  <c r="K59" i="32" s="1"/>
  <c r="J60" i="32"/>
  <c r="K60" i="32" s="1"/>
  <c r="J61" i="32"/>
  <c r="K61" i="32" s="1"/>
  <c r="J62" i="32"/>
  <c r="K62" i="32" s="1"/>
  <c r="J63" i="32"/>
  <c r="K63" i="32" s="1"/>
  <c r="J64" i="32"/>
  <c r="K64" i="32" s="1"/>
  <c r="J28" i="32"/>
  <c r="K28" i="32" s="1"/>
  <c r="J27" i="32"/>
  <c r="K27" i="32" s="1"/>
  <c r="J26" i="32"/>
  <c r="K26" i="32" s="1"/>
  <c r="H45" i="32"/>
  <c r="N73" i="46" s="1"/>
  <c r="H36" i="32"/>
  <c r="N56" i="46" s="1"/>
  <c r="H34" i="32"/>
  <c r="N54" i="46" s="1"/>
  <c r="H64" i="32"/>
  <c r="N81" i="46" s="1"/>
  <c r="H63" i="32"/>
  <c r="N85" i="46" s="1"/>
  <c r="H62" i="32"/>
  <c r="N57" i="46" s="1"/>
  <c r="H61" i="32"/>
  <c r="N87" i="46" s="1"/>
  <c r="H60" i="32"/>
  <c r="N75" i="46" s="1"/>
  <c r="H59" i="32"/>
  <c r="N84" i="46" s="1"/>
  <c r="H58" i="32"/>
  <c r="N78" i="46" s="1"/>
  <c r="H57" i="32"/>
  <c r="N77" i="46" s="1"/>
  <c r="H54" i="32"/>
  <c r="N69" i="46" s="1"/>
  <c r="H53" i="32"/>
  <c r="N68" i="46" s="1"/>
  <c r="H52" i="32"/>
  <c r="N74" i="46" s="1"/>
  <c r="H51" i="32"/>
  <c r="N86" i="46" s="1"/>
  <c r="H50" i="32"/>
  <c r="N67" i="46" s="1"/>
  <c r="H49" i="32"/>
  <c r="N66" i="46" s="1"/>
  <c r="H48" i="32"/>
  <c r="H47" i="32"/>
  <c r="H46" i="32"/>
  <c r="N64" i="46" s="1"/>
  <c r="H44" i="32"/>
  <c r="N63" i="46" s="1"/>
  <c r="H43" i="32"/>
  <c r="H5" i="32"/>
  <c r="J5" i="32"/>
  <c r="K5" i="32" s="1"/>
  <c r="L5" i="32"/>
  <c r="AC5" i="32" s="1"/>
  <c r="H6" i="32"/>
  <c r="J6" i="32"/>
  <c r="K6" i="32" s="1"/>
  <c r="L6" i="32"/>
  <c r="AC6" i="32" s="1"/>
  <c r="H7" i="32"/>
  <c r="J7" i="32"/>
  <c r="K7" i="32" s="1"/>
  <c r="L7" i="32"/>
  <c r="AC7" i="32" s="1"/>
  <c r="H8" i="32"/>
  <c r="J8" i="32"/>
  <c r="K8" i="32" s="1"/>
  <c r="L8" i="32"/>
  <c r="AC8" i="32" s="1"/>
  <c r="H9" i="32"/>
  <c r="J9" i="32"/>
  <c r="K9" i="32" s="1"/>
  <c r="L9" i="32" s="1"/>
  <c r="AC9" i="32" s="1"/>
  <c r="H10" i="32"/>
  <c r="J10" i="32"/>
  <c r="K10" i="32" s="1"/>
  <c r="L10" i="32"/>
  <c r="AC10" i="32" s="1"/>
  <c r="H12" i="32"/>
  <c r="J12" i="32"/>
  <c r="K12" i="32" s="1"/>
  <c r="L12" i="32"/>
  <c r="AC12" i="32" s="1"/>
  <c r="H13" i="32"/>
  <c r="J13" i="32"/>
  <c r="K13" i="32" s="1"/>
  <c r="L13" i="32"/>
  <c r="AC13" i="32" s="1"/>
  <c r="H14" i="32"/>
  <c r="J14" i="32"/>
  <c r="K14" i="32" s="1"/>
  <c r="L14" i="32"/>
  <c r="AC14" i="32" s="1"/>
  <c r="H15" i="32"/>
  <c r="J15" i="32"/>
  <c r="K15" i="32" s="1"/>
  <c r="L15" i="32"/>
  <c r="AC15" i="32" s="1"/>
  <c r="H16" i="32"/>
  <c r="J16" i="32"/>
  <c r="K16" i="32" s="1"/>
  <c r="L16" i="32"/>
  <c r="AC16" i="32" s="1"/>
  <c r="H17" i="32"/>
  <c r="J17" i="32"/>
  <c r="K17" i="32" s="1"/>
  <c r="L17" i="32"/>
  <c r="AC17" i="32" s="1"/>
  <c r="H18" i="32"/>
  <c r="J18" i="32"/>
  <c r="K18" i="32" s="1"/>
  <c r="L18" i="32"/>
  <c r="AC18" i="32" s="1"/>
  <c r="J19" i="32"/>
  <c r="K19" i="32" s="1"/>
  <c r="J20" i="32"/>
  <c r="K20" i="32" s="1"/>
  <c r="H21" i="32"/>
  <c r="J21" i="32"/>
  <c r="K21" i="32" s="1"/>
  <c r="L21" i="32"/>
  <c r="AC21" i="32" s="1"/>
  <c r="H22" i="32"/>
  <c r="J22" i="32"/>
  <c r="K22" i="32" s="1"/>
  <c r="L22" i="32"/>
  <c r="AC22" i="32" s="1"/>
  <c r="H27" i="32"/>
  <c r="H28" i="32"/>
  <c r="H31" i="32"/>
  <c r="N80" i="46" s="1"/>
  <c r="H32" i="32"/>
  <c r="N52" i="46" s="1"/>
  <c r="H33" i="32"/>
  <c r="N53" i="46" s="1"/>
  <c r="H37" i="32"/>
  <c r="N59" i="46" s="1"/>
  <c r="H38" i="32"/>
  <c r="N71" i="46" s="1"/>
  <c r="H39" i="32"/>
  <c r="N72" i="46" s="1"/>
  <c r="H40" i="32"/>
  <c r="N60" i="46" s="1"/>
  <c r="H41" i="32"/>
  <c r="N61" i="46" s="1"/>
  <c r="M66" i="32"/>
  <c r="O66" i="32"/>
  <c r="R66" i="32"/>
  <c r="S66" i="32"/>
  <c r="T66" i="32"/>
  <c r="S83" i="40" l="1"/>
  <c r="S62" i="46"/>
  <c r="Q51" i="46"/>
  <c r="Z51" i="46" s="1"/>
  <c r="S51" i="46"/>
  <c r="AA51" i="46" s="1"/>
  <c r="H1" i="32"/>
  <c r="Y49" i="46"/>
  <c r="Y48" i="46" s="1"/>
  <c r="N65" i="46"/>
  <c r="V65" i="46" s="1"/>
  <c r="Y62" i="46"/>
  <c r="P49" i="46"/>
  <c r="P48" i="46" s="1"/>
  <c r="P76" i="46"/>
  <c r="P65" i="46"/>
  <c r="P58" i="46" s="1"/>
  <c r="P82" i="46"/>
  <c r="Q92" i="46"/>
  <c r="Z92" i="46" s="1"/>
  <c r="S92" i="46"/>
  <c r="AA92" i="46" s="1"/>
  <c r="Y90" i="46"/>
  <c r="N91" i="46"/>
  <c r="X91" i="46" s="1"/>
  <c r="Q62" i="46"/>
  <c r="Z62" i="46" s="1"/>
  <c r="V52" i="46"/>
  <c r="X52" i="46"/>
  <c r="X80" i="46"/>
  <c r="N79" i="46"/>
  <c r="O80" i="46" s="1"/>
  <c r="V80" i="46"/>
  <c r="N90" i="46"/>
  <c r="X86" i="46"/>
  <c r="V86" i="46"/>
  <c r="X77" i="46"/>
  <c r="V77" i="46"/>
  <c r="N76" i="46"/>
  <c r="O77" i="46" s="1"/>
  <c r="X87" i="46"/>
  <c r="V87" i="46"/>
  <c r="X54" i="46"/>
  <c r="V54" i="46"/>
  <c r="N49" i="46"/>
  <c r="R57" i="46"/>
  <c r="Z57" i="46"/>
  <c r="R78" i="46"/>
  <c r="Z78" i="46"/>
  <c r="R74" i="46"/>
  <c r="Z74" i="46"/>
  <c r="R63" i="46"/>
  <c r="Z63" i="46"/>
  <c r="Z60" i="46"/>
  <c r="R60" i="46"/>
  <c r="Z56" i="46"/>
  <c r="R56" i="46"/>
  <c r="Z80" i="46"/>
  <c r="R80" i="46"/>
  <c r="Q79" i="46"/>
  <c r="P70" i="46"/>
  <c r="S49" i="46"/>
  <c r="AA57" i="46"/>
  <c r="T57" i="46"/>
  <c r="T78" i="46"/>
  <c r="AA78" i="46"/>
  <c r="T74" i="46"/>
  <c r="AA74" i="46"/>
  <c r="AA63" i="46"/>
  <c r="T63" i="46"/>
  <c r="AA60" i="46"/>
  <c r="T60" i="46"/>
  <c r="AA56" i="46"/>
  <c r="T56" i="46"/>
  <c r="T80" i="46"/>
  <c r="AA80" i="46"/>
  <c r="S79" i="46"/>
  <c r="P92" i="46"/>
  <c r="S90" i="46"/>
  <c r="Y91" i="46"/>
  <c r="X72" i="46"/>
  <c r="V72" i="46"/>
  <c r="X71" i="46"/>
  <c r="V71" i="46"/>
  <c r="X61" i="46"/>
  <c r="V61" i="46"/>
  <c r="X59" i="46"/>
  <c r="V59" i="46"/>
  <c r="X74" i="46"/>
  <c r="V74" i="46"/>
  <c r="X78" i="46"/>
  <c r="V78" i="46"/>
  <c r="X57" i="46"/>
  <c r="V57" i="46"/>
  <c r="X56" i="46"/>
  <c r="V56" i="46"/>
  <c r="N51" i="46"/>
  <c r="Q49" i="46"/>
  <c r="R87" i="46"/>
  <c r="Z87" i="46"/>
  <c r="Z77" i="46"/>
  <c r="Q76" i="46"/>
  <c r="R77" i="46"/>
  <c r="R86" i="46"/>
  <c r="Z86" i="46"/>
  <c r="Q65" i="46"/>
  <c r="Z72" i="46"/>
  <c r="R72" i="46"/>
  <c r="R54" i="46"/>
  <c r="Z54" i="46"/>
  <c r="Z83" i="46"/>
  <c r="Q82" i="46"/>
  <c r="R83" i="46"/>
  <c r="Y79" i="46"/>
  <c r="T83" i="46"/>
  <c r="S82" i="46"/>
  <c r="AA83" i="46"/>
  <c r="T87" i="46"/>
  <c r="AA87" i="46"/>
  <c r="AA77" i="46"/>
  <c r="S76" i="46"/>
  <c r="T77" i="46"/>
  <c r="AA86" i="46"/>
  <c r="T86" i="46"/>
  <c r="S65" i="46"/>
  <c r="S58" i="46" s="1"/>
  <c r="AA72" i="46"/>
  <c r="T72" i="46"/>
  <c r="AA54" i="46"/>
  <c r="T54" i="46"/>
  <c r="Q90" i="46"/>
  <c r="Q91" i="46"/>
  <c r="S91" i="46"/>
  <c r="P93" i="46"/>
  <c r="V60" i="46"/>
  <c r="X60" i="46"/>
  <c r="X53" i="46"/>
  <c r="V53" i="46"/>
  <c r="N92" i="46"/>
  <c r="X63" i="46"/>
  <c r="V63" i="46"/>
  <c r="X66" i="46"/>
  <c r="V66" i="46"/>
  <c r="X68" i="46"/>
  <c r="V68" i="46"/>
  <c r="X84" i="46"/>
  <c r="V84" i="46"/>
  <c r="X85" i="46"/>
  <c r="V85" i="46"/>
  <c r="X73" i="46"/>
  <c r="V73" i="46"/>
  <c r="N93" i="46"/>
  <c r="N82" i="46"/>
  <c r="V83" i="46"/>
  <c r="X83" i="46"/>
  <c r="Z81" i="46"/>
  <c r="R81" i="46"/>
  <c r="Z75" i="46"/>
  <c r="R75" i="46"/>
  <c r="R69" i="46"/>
  <c r="Z69" i="46"/>
  <c r="R67" i="46"/>
  <c r="Z67" i="46"/>
  <c r="Z64" i="46"/>
  <c r="R64" i="46"/>
  <c r="Z71" i="46"/>
  <c r="R71" i="46"/>
  <c r="Q70" i="46"/>
  <c r="Z53" i="46"/>
  <c r="R53" i="46"/>
  <c r="Y76" i="46"/>
  <c r="Y65" i="46"/>
  <c r="Y58" i="46" s="1"/>
  <c r="Y82" i="46"/>
  <c r="P79" i="46"/>
  <c r="AA81" i="46"/>
  <c r="T81" i="46"/>
  <c r="AA75" i="46"/>
  <c r="T75" i="46"/>
  <c r="AA69" i="46"/>
  <c r="T69" i="46"/>
  <c r="AA67" i="46"/>
  <c r="T67" i="46"/>
  <c r="AA64" i="46"/>
  <c r="T64" i="46"/>
  <c r="AA62" i="46"/>
  <c r="T71" i="46"/>
  <c r="AA71" i="46"/>
  <c r="S70" i="46"/>
  <c r="T53" i="46"/>
  <c r="AA53" i="46"/>
  <c r="P90" i="46"/>
  <c r="P91" i="46"/>
  <c r="Y92" i="46"/>
  <c r="V64" i="46"/>
  <c r="X64" i="46"/>
  <c r="X67" i="46"/>
  <c r="V67" i="46"/>
  <c r="X69" i="46"/>
  <c r="V69" i="46"/>
  <c r="N70" i="46"/>
  <c r="O72" i="46" s="1"/>
  <c r="X75" i="46"/>
  <c r="V75" i="46"/>
  <c r="V81" i="46"/>
  <c r="X81" i="46"/>
  <c r="Z85" i="46"/>
  <c r="R85" i="46"/>
  <c r="R84" i="46"/>
  <c r="Z84" i="46"/>
  <c r="Z68" i="46"/>
  <c r="R68" i="46"/>
  <c r="Z66" i="46"/>
  <c r="R66" i="46"/>
  <c r="R73" i="46"/>
  <c r="Z73" i="46"/>
  <c r="Z61" i="46"/>
  <c r="R61" i="46"/>
  <c r="R59" i="46"/>
  <c r="Z59" i="46"/>
  <c r="Z52" i="46"/>
  <c r="R52" i="46"/>
  <c r="Y70" i="46"/>
  <c r="AA85" i="46"/>
  <c r="T85" i="46"/>
  <c r="T84" i="46"/>
  <c r="AA84" i="46"/>
  <c r="AA68" i="46"/>
  <c r="T68" i="46"/>
  <c r="AA66" i="46"/>
  <c r="T66" i="46"/>
  <c r="T73" i="46"/>
  <c r="AA73" i="46"/>
  <c r="T61" i="46"/>
  <c r="AA61" i="46"/>
  <c r="AA59" i="46"/>
  <c r="T59" i="46"/>
  <c r="AA52" i="46"/>
  <c r="T52" i="46"/>
  <c r="N62" i="46"/>
  <c r="Q84" i="40"/>
  <c r="Z84" i="40" s="1"/>
  <c r="S84" i="40"/>
  <c r="AA84" i="40" s="1"/>
  <c r="Y69" i="40"/>
  <c r="Q71" i="40"/>
  <c r="Z71" i="40" s="1"/>
  <c r="W66" i="32"/>
  <c r="S87" i="40"/>
  <c r="AA87" i="40" s="1"/>
  <c r="S90" i="40"/>
  <c r="AA90" i="40" s="1"/>
  <c r="Q90" i="40"/>
  <c r="Z90" i="40" s="1"/>
  <c r="N90" i="40"/>
  <c r="S69" i="40"/>
  <c r="Q92" i="40"/>
  <c r="Z92" i="40" s="1"/>
  <c r="S92" i="40"/>
  <c r="R68" i="32"/>
  <c r="R70" i="32" s="1"/>
  <c r="S54" i="40"/>
  <c r="U30" i="32"/>
  <c r="Y86" i="40"/>
  <c r="N74" i="40"/>
  <c r="X74" i="40" s="1"/>
  <c r="Y81" i="40"/>
  <c r="Y75" i="40"/>
  <c r="Y67" i="40"/>
  <c r="Y64" i="40"/>
  <c r="Y71" i="40"/>
  <c r="Y72" i="40"/>
  <c r="N73" i="40"/>
  <c r="V73" i="40" s="1"/>
  <c r="Y85" i="40"/>
  <c r="Y84" i="40"/>
  <c r="Y68" i="40"/>
  <c r="Y66" i="40"/>
  <c r="Y73" i="40"/>
  <c r="Y61" i="40"/>
  <c r="Y59" i="40"/>
  <c r="Q69" i="40"/>
  <c r="Z69" i="40" s="1"/>
  <c r="Y87" i="40"/>
  <c r="Y77" i="40"/>
  <c r="Y83" i="40"/>
  <c r="N72" i="40"/>
  <c r="X72" i="40" s="1"/>
  <c r="N69" i="40"/>
  <c r="V69" i="40" s="1"/>
  <c r="Y78" i="40"/>
  <c r="Y74" i="40"/>
  <c r="Y63" i="40"/>
  <c r="Y60" i="40"/>
  <c r="Y80" i="40"/>
  <c r="P84" i="40"/>
  <c r="N68" i="32"/>
  <c r="Y54" i="40"/>
  <c r="Y53" i="40"/>
  <c r="Y51" i="40"/>
  <c r="H66" i="32"/>
  <c r="Y52" i="40"/>
  <c r="Y57" i="40"/>
  <c r="Y56" i="40"/>
  <c r="AC51" i="40"/>
  <c r="AC56" i="40"/>
  <c r="AC57" i="40"/>
  <c r="H68" i="32"/>
  <c r="P60" i="32"/>
  <c r="V68" i="32"/>
  <c r="I80" i="40"/>
  <c r="Y9" i="32"/>
  <c r="V66" i="32"/>
  <c r="Y18" i="32"/>
  <c r="U12" i="32"/>
  <c r="Q81" i="40"/>
  <c r="Z81" i="40" s="1"/>
  <c r="P57" i="40"/>
  <c r="P56" i="40"/>
  <c r="S81" i="40"/>
  <c r="S75" i="40"/>
  <c r="AA75" i="40" s="1"/>
  <c r="S71" i="40"/>
  <c r="AA71" i="40" s="1"/>
  <c r="X38" i="32"/>
  <c r="U57" i="32"/>
  <c r="N87" i="40"/>
  <c r="X87" i="40" s="1"/>
  <c r="N54" i="40"/>
  <c r="Q85" i="40"/>
  <c r="Q61" i="40"/>
  <c r="Z61" i="40" s="1"/>
  <c r="Q59" i="40"/>
  <c r="Z59" i="40" s="1"/>
  <c r="Q52" i="40"/>
  <c r="Z52" i="40" s="1"/>
  <c r="P87" i="40"/>
  <c r="P77" i="40"/>
  <c r="P86" i="40"/>
  <c r="P72" i="40"/>
  <c r="P54" i="40"/>
  <c r="P83" i="40"/>
  <c r="S85" i="40"/>
  <c r="S61" i="40"/>
  <c r="AA61" i="40" s="1"/>
  <c r="S59" i="40"/>
  <c r="AA59" i="40" s="1"/>
  <c r="S52" i="40"/>
  <c r="X46" i="32"/>
  <c r="P19" i="32"/>
  <c r="Q64" i="40"/>
  <c r="Z64" i="40" s="1"/>
  <c r="Q53" i="40"/>
  <c r="Z53" i="40" s="1"/>
  <c r="P78" i="40"/>
  <c r="P63" i="40"/>
  <c r="P80" i="40"/>
  <c r="S64" i="40"/>
  <c r="AA64" i="40" s="1"/>
  <c r="N52" i="40"/>
  <c r="N78" i="40"/>
  <c r="X78" i="40" s="1"/>
  <c r="N57" i="40"/>
  <c r="X57" i="40" s="1"/>
  <c r="Q74" i="40"/>
  <c r="Z74" i="40" s="1"/>
  <c r="Q63" i="40"/>
  <c r="Z63" i="40" s="1"/>
  <c r="Q60" i="40"/>
  <c r="Z60" i="40" s="1"/>
  <c r="Q56" i="40"/>
  <c r="Q80" i="40"/>
  <c r="Z80" i="40" s="1"/>
  <c r="P81" i="40"/>
  <c r="P75" i="40"/>
  <c r="P69" i="40"/>
  <c r="P67" i="40"/>
  <c r="P64" i="40"/>
  <c r="P62" i="40"/>
  <c r="P71" i="40"/>
  <c r="P53" i="40"/>
  <c r="P51" i="40"/>
  <c r="S57" i="40"/>
  <c r="S78" i="40"/>
  <c r="AA78" i="40" s="1"/>
  <c r="S63" i="40"/>
  <c r="AA63" i="40" s="1"/>
  <c r="S56" i="40"/>
  <c r="S80" i="40"/>
  <c r="AA80" i="40" s="1"/>
  <c r="X50" i="32"/>
  <c r="Q75" i="40"/>
  <c r="Z75" i="40" s="1"/>
  <c r="Q67" i="40"/>
  <c r="Z67" i="40" s="1"/>
  <c r="P74" i="40"/>
  <c r="P60" i="40"/>
  <c r="S53" i="40"/>
  <c r="N81" i="40"/>
  <c r="X60" i="32"/>
  <c r="N60" i="40"/>
  <c r="X60" i="40" s="1"/>
  <c r="N53" i="40"/>
  <c r="X53" i="40" s="1"/>
  <c r="N66" i="40"/>
  <c r="V66" i="40" s="1"/>
  <c r="N68" i="40"/>
  <c r="X68" i="40" s="1"/>
  <c r="N85" i="40"/>
  <c r="X85" i="40" s="1"/>
  <c r="Q87" i="40"/>
  <c r="Q77" i="40"/>
  <c r="Z77" i="40" s="1"/>
  <c r="Q86" i="40"/>
  <c r="Q72" i="40"/>
  <c r="Z72" i="40" s="1"/>
  <c r="Q54" i="40"/>
  <c r="Z54" i="40" s="1"/>
  <c r="P85" i="40"/>
  <c r="P68" i="40"/>
  <c r="P66" i="40"/>
  <c r="P73" i="40"/>
  <c r="P61" i="40"/>
  <c r="P59" i="40"/>
  <c r="P52" i="40"/>
  <c r="S77" i="40"/>
  <c r="AA77" i="40" s="1"/>
  <c r="S72" i="40"/>
  <c r="I81" i="40"/>
  <c r="W70" i="40"/>
  <c r="H82" i="40"/>
  <c r="J82" i="40"/>
  <c r="G82" i="40"/>
  <c r="P57" i="32"/>
  <c r="X15" i="32"/>
  <c r="X10" i="32"/>
  <c r="P65" i="40"/>
  <c r="U28" i="32"/>
  <c r="U70" i="40"/>
  <c r="Y32" i="32"/>
  <c r="U32" i="32"/>
  <c r="P27" i="32"/>
  <c r="Y5" i="32"/>
  <c r="P49" i="32"/>
  <c r="X28" i="32"/>
  <c r="N71" i="40"/>
  <c r="V71" i="40" s="1"/>
  <c r="P41" i="32"/>
  <c r="P37" i="32"/>
  <c r="P28" i="32"/>
  <c r="P22" i="32"/>
  <c r="Y62" i="40"/>
  <c r="N77" i="40"/>
  <c r="V77" i="40" s="1"/>
  <c r="Y57" i="32"/>
  <c r="U52" i="32"/>
  <c r="X5" i="32"/>
  <c r="Q51" i="40"/>
  <c r="Z51" i="40" s="1"/>
  <c r="P32" i="32"/>
  <c r="Y28" i="32"/>
  <c r="N59" i="40"/>
  <c r="X59" i="32"/>
  <c r="P51" i="32"/>
  <c r="P14" i="32"/>
  <c r="X47" i="32"/>
  <c r="X32" i="32"/>
  <c r="P38" i="32"/>
  <c r="N62" i="40"/>
  <c r="X62" i="40" s="1"/>
  <c r="X57" i="32"/>
  <c r="Y63" i="32"/>
  <c r="Y52" i="32"/>
  <c r="P16" i="32"/>
  <c r="P59" i="32"/>
  <c r="U64" i="32"/>
  <c r="X17" i="32"/>
  <c r="X8" i="32"/>
  <c r="AD9" i="32"/>
  <c r="X29" i="32"/>
  <c r="P26" i="32"/>
  <c r="X58" i="32"/>
  <c r="Q49" i="40"/>
  <c r="Z49" i="40" s="1"/>
  <c r="P49" i="40"/>
  <c r="U33" i="32"/>
  <c r="Y33" i="32"/>
  <c r="N84" i="40"/>
  <c r="X84" i="40" s="1"/>
  <c r="S74" i="40"/>
  <c r="AA74" i="40" s="1"/>
  <c r="Y36" i="32"/>
  <c r="P58" i="32"/>
  <c r="U31" i="32"/>
  <c r="N65" i="40"/>
  <c r="U65" i="40" s="1"/>
  <c r="U58" i="40" s="1"/>
  <c r="P62" i="32"/>
  <c r="X16" i="32"/>
  <c r="X52" i="32"/>
  <c r="Y44" i="32"/>
  <c r="Y65" i="40"/>
  <c r="Y49" i="40"/>
  <c r="AB60" i="40"/>
  <c r="AC62" i="40"/>
  <c r="AB67" i="40"/>
  <c r="AC69" i="40"/>
  <c r="AB74" i="40"/>
  <c r="X19" i="32"/>
  <c r="P10" i="32"/>
  <c r="N67" i="40"/>
  <c r="Y17" i="32"/>
  <c r="P46" i="32"/>
  <c r="N64" i="40"/>
  <c r="V64" i="40" s="1"/>
  <c r="N92" i="40"/>
  <c r="U27" i="32"/>
  <c r="N49" i="40"/>
  <c r="V49" i="40" s="1"/>
  <c r="U10" i="32"/>
  <c r="X27" i="32"/>
  <c r="P50" i="32"/>
  <c r="X49" i="32"/>
  <c r="X45" i="32"/>
  <c r="AE6" i="32"/>
  <c r="Q78" i="40"/>
  <c r="Q66" i="40"/>
  <c r="U63" i="32"/>
  <c r="U21" i="32"/>
  <c r="X7" i="32"/>
  <c r="X33" i="32"/>
  <c r="X26" i="32"/>
  <c r="P21" i="32"/>
  <c r="P52" i="32"/>
  <c r="Y27" i="32"/>
  <c r="U43" i="32"/>
  <c r="U29" i="32"/>
  <c r="P90" i="40"/>
  <c r="I68" i="32"/>
  <c r="Y10" i="32"/>
  <c r="P48" i="32"/>
  <c r="Y90" i="40"/>
  <c r="Y38" i="32"/>
  <c r="S68" i="32"/>
  <c r="S70" i="32" s="1"/>
  <c r="U36" i="32"/>
  <c r="U38" i="32"/>
  <c r="X61" i="32"/>
  <c r="P12" i="32"/>
  <c r="U50" i="32"/>
  <c r="AE8" i="32"/>
  <c r="X13" i="32"/>
  <c r="P8" i="32"/>
  <c r="AG9" i="32"/>
  <c r="AC71" i="40"/>
  <c r="I84" i="40"/>
  <c r="H79" i="40"/>
  <c r="AC81" i="40"/>
  <c r="I83" i="40"/>
  <c r="AC85" i="40"/>
  <c r="Y62" i="32"/>
  <c r="S67" i="40"/>
  <c r="U46" i="32"/>
  <c r="Y29" i="32"/>
  <c r="Y59" i="32"/>
  <c r="P40" i="32"/>
  <c r="N56" i="40"/>
  <c r="V56" i="40" s="1"/>
  <c r="P44" i="32"/>
  <c r="P53" i="32"/>
  <c r="P47" i="32"/>
  <c r="X43" i="32"/>
  <c r="X39" i="32"/>
  <c r="U26" i="32"/>
  <c r="Y61" i="32"/>
  <c r="Y53" i="32"/>
  <c r="U49" i="32"/>
  <c r="P91" i="40"/>
  <c r="P36" i="32"/>
  <c r="X36" i="32"/>
  <c r="U62" i="32"/>
  <c r="Y50" i="32"/>
  <c r="P29" i="32"/>
  <c r="X40" i="32"/>
  <c r="P13" i="32"/>
  <c r="Y54" i="32"/>
  <c r="X37" i="32"/>
  <c r="U7" i="32"/>
  <c r="P5" i="32"/>
  <c r="AD8" i="32"/>
  <c r="Y7" i="32"/>
  <c r="X41" i="32"/>
  <c r="X63" i="32"/>
  <c r="P63" i="32"/>
  <c r="P17" i="32"/>
  <c r="Y64" i="32"/>
  <c r="U17" i="32"/>
  <c r="S91" i="40"/>
  <c r="AA91" i="40" s="1"/>
  <c r="Y8" i="32"/>
  <c r="AG7" i="32"/>
  <c r="AG6" i="32"/>
  <c r="P7" i="32"/>
  <c r="N51" i="40"/>
  <c r="X51" i="40" s="1"/>
  <c r="Y48" i="32"/>
  <c r="U59" i="32"/>
  <c r="Y6" i="32"/>
  <c r="U40" i="32"/>
  <c r="U37" i="32"/>
  <c r="Q93" i="40"/>
  <c r="Z93" i="40" s="1"/>
  <c r="P18" i="32"/>
  <c r="AE7" i="32"/>
  <c r="N23" i="32"/>
  <c r="Y19" i="32"/>
  <c r="K68" i="32"/>
  <c r="P15" i="32"/>
  <c r="U53" i="32"/>
  <c r="AE9" i="32"/>
  <c r="U8" i="32"/>
  <c r="J68" i="32"/>
  <c r="Y41" i="32"/>
  <c r="N86" i="40"/>
  <c r="V86" i="40" s="1"/>
  <c r="AD6" i="32"/>
  <c r="Y13" i="32"/>
  <c r="Y58" i="32"/>
  <c r="U34" i="32"/>
  <c r="Y91" i="40"/>
  <c r="S66" i="40"/>
  <c r="AA66" i="40" s="1"/>
  <c r="X20" i="32"/>
  <c r="U19" i="32"/>
  <c r="P39" i="32"/>
  <c r="X48" i="32"/>
  <c r="Y26" i="32"/>
  <c r="Y15" i="32"/>
  <c r="P34" i="32"/>
  <c r="Q65" i="40"/>
  <c r="U48" i="32"/>
  <c r="Y12" i="32"/>
  <c r="X34" i="32"/>
  <c r="X44" i="32"/>
  <c r="P61" i="32"/>
  <c r="Y43" i="32"/>
  <c r="N93" i="40"/>
  <c r="S68" i="40"/>
  <c r="P20" i="32"/>
  <c r="N75" i="40"/>
  <c r="Q66" i="32"/>
  <c r="P33" i="32"/>
  <c r="X18" i="32"/>
  <c r="U41" i="32"/>
  <c r="Y46" i="32"/>
  <c r="U54" i="32"/>
  <c r="U61" i="32"/>
  <c r="P43" i="32"/>
  <c r="Y37" i="32"/>
  <c r="Y34" i="32"/>
  <c r="P64" i="32"/>
  <c r="Y49" i="32"/>
  <c r="AF6" i="32"/>
  <c r="U5" i="32"/>
  <c r="S49" i="40"/>
  <c r="U15" i="32"/>
  <c r="U18" i="32"/>
  <c r="Y20" i="32"/>
  <c r="U44" i="32"/>
  <c r="N61" i="40"/>
  <c r="X61" i="40" s="1"/>
  <c r="X12" i="32"/>
  <c r="N63" i="40"/>
  <c r="X63" i="40" s="1"/>
  <c r="Q68" i="40"/>
  <c r="S60" i="40"/>
  <c r="AA60" i="40" s="1"/>
  <c r="P92" i="40"/>
  <c r="X64" i="32"/>
  <c r="Q91" i="40"/>
  <c r="Z91" i="40" s="1"/>
  <c r="X51" i="32"/>
  <c r="U20" i="32"/>
  <c r="U58" i="32"/>
  <c r="X53" i="32"/>
  <c r="AF9" i="32"/>
  <c r="Y40" i="32"/>
  <c r="X9" i="32"/>
  <c r="P30" i="32"/>
  <c r="S62" i="40"/>
  <c r="AA62" i="40" s="1"/>
  <c r="Y39" i="32"/>
  <c r="S51" i="40"/>
  <c r="U22" i="32"/>
  <c r="Y16" i="32"/>
  <c r="Y93" i="40"/>
  <c r="P93" i="40"/>
  <c r="AC80" i="40"/>
  <c r="AC87" i="40"/>
  <c r="J76" i="40"/>
  <c r="AB81" i="40"/>
  <c r="AB85" i="40"/>
  <c r="I49" i="40"/>
  <c r="G76" i="40"/>
  <c r="J79" i="40"/>
  <c r="G89" i="40"/>
  <c r="AC83" i="40"/>
  <c r="AC60" i="40"/>
  <c r="AB66" i="40"/>
  <c r="I72" i="40"/>
  <c r="W79" i="40"/>
  <c r="AB71" i="40"/>
  <c r="AB75" i="40"/>
  <c r="G79" i="40"/>
  <c r="J89" i="40"/>
  <c r="AC86" i="40"/>
  <c r="I55" i="40"/>
  <c r="I54" i="40"/>
  <c r="AC54" i="40"/>
  <c r="I66" i="40"/>
  <c r="AB87" i="40"/>
  <c r="AB84" i="40"/>
  <c r="AC67" i="40"/>
  <c r="AC74" i="40"/>
  <c r="AC91" i="40"/>
  <c r="AB86" i="40"/>
  <c r="I62" i="40"/>
  <c r="AB69" i="40"/>
  <c r="U76" i="40"/>
  <c r="I60" i="40"/>
  <c r="AC75" i="40"/>
  <c r="AC55" i="40"/>
  <c r="AC59" i="40"/>
  <c r="I75" i="40"/>
  <c r="AB83" i="40"/>
  <c r="AB57" i="40"/>
  <c r="AC53" i="40"/>
  <c r="G70" i="40"/>
  <c r="I67" i="40"/>
  <c r="I90" i="40"/>
  <c r="AB62" i="40"/>
  <c r="AC65" i="40"/>
  <c r="G58" i="40"/>
  <c r="AC77" i="40"/>
  <c r="AB50" i="40"/>
  <c r="AC49" i="40"/>
  <c r="I86" i="40"/>
  <c r="I91" i="40"/>
  <c r="I69" i="40"/>
  <c r="H70" i="40"/>
  <c r="J58" i="40"/>
  <c r="J70" i="40"/>
  <c r="AB91" i="40"/>
  <c r="J48" i="40"/>
  <c r="U48" i="40"/>
  <c r="AB59" i="40"/>
  <c r="AC72" i="40"/>
  <c r="W58" i="40"/>
  <c r="U89" i="40"/>
  <c r="F3" i="40"/>
  <c r="AB65" i="40"/>
  <c r="AB72" i="40"/>
  <c r="H76" i="40"/>
  <c r="AB53" i="40"/>
  <c r="AB56" i="40"/>
  <c r="AC50" i="40"/>
  <c r="AB54" i="40"/>
  <c r="AB80" i="40"/>
  <c r="I51" i="40"/>
  <c r="I65" i="40"/>
  <c r="I71" i="40"/>
  <c r="I57" i="40"/>
  <c r="I59" i="40"/>
  <c r="H58" i="40"/>
  <c r="I85" i="40"/>
  <c r="H89" i="40"/>
  <c r="AC90" i="40"/>
  <c r="I77" i="40"/>
  <c r="AB77" i="40"/>
  <c r="W48" i="40"/>
  <c r="U79" i="40"/>
  <c r="W89" i="40"/>
  <c r="AC66" i="40"/>
  <c r="AC84" i="40"/>
  <c r="W76" i="40"/>
  <c r="H48" i="40"/>
  <c r="I56" i="40"/>
  <c r="G48" i="40"/>
  <c r="I53" i="40"/>
  <c r="I50" i="40"/>
  <c r="AB78" i="40"/>
  <c r="AC78" i="40"/>
  <c r="I78" i="40"/>
  <c r="T68" i="32"/>
  <c r="T70" i="32" s="1"/>
  <c r="U9" i="32"/>
  <c r="U14" i="32"/>
  <c r="Y14" i="32"/>
  <c r="P42" i="32"/>
  <c r="Q62" i="40"/>
  <c r="S86" i="40"/>
  <c r="U51" i="32"/>
  <c r="S73" i="40"/>
  <c r="Y45" i="32"/>
  <c r="J66" i="32"/>
  <c r="X14" i="32"/>
  <c r="AD7" i="32"/>
  <c r="U39" i="32"/>
  <c r="U42" i="32"/>
  <c r="N66" i="32"/>
  <c r="X31" i="32"/>
  <c r="N80" i="40"/>
  <c r="P31" i="32"/>
  <c r="AA83" i="40"/>
  <c r="K23" i="32"/>
  <c r="N83" i="40"/>
  <c r="U65" i="32"/>
  <c r="Q57" i="40"/>
  <c r="X62" i="32"/>
  <c r="Q73" i="40"/>
  <c r="P45" i="32"/>
  <c r="Q83" i="40"/>
  <c r="P65" i="32"/>
  <c r="Q68" i="32"/>
  <c r="U6" i="32"/>
  <c r="AG8" i="32"/>
  <c r="U47" i="32"/>
  <c r="Y47" i="32"/>
  <c r="W68" i="32"/>
  <c r="I66" i="32"/>
  <c r="X54" i="32"/>
  <c r="L68" i="32"/>
  <c r="Y92" i="40"/>
  <c r="Y31" i="32"/>
  <c r="U45" i="32"/>
  <c r="Y60" i="32"/>
  <c r="U60" i="32"/>
  <c r="K66" i="32"/>
  <c r="P54" i="32"/>
  <c r="Y42" i="32"/>
  <c r="N91" i="40"/>
  <c r="AF8" i="32"/>
  <c r="X42" i="32"/>
  <c r="U16" i="32"/>
  <c r="Y51" i="32"/>
  <c r="S65" i="40"/>
  <c r="L66" i="32"/>
  <c r="AF7" i="32"/>
  <c r="U13" i="32"/>
  <c r="W23" i="32"/>
  <c r="P6" i="32"/>
  <c r="X6" i="32"/>
  <c r="N58" i="46" l="1"/>
  <c r="O65" i="46" s="1"/>
  <c r="Q48" i="46"/>
  <c r="T51" i="46"/>
  <c r="X65" i="46"/>
  <c r="R92" i="46"/>
  <c r="Q58" i="46"/>
  <c r="Q88" i="46" s="1"/>
  <c r="V91" i="46"/>
  <c r="Z65" i="40"/>
  <c r="R79" i="46"/>
  <c r="O81" i="46"/>
  <c r="AA54" i="40"/>
  <c r="R62" i="46"/>
  <c r="Y89" i="46"/>
  <c r="T92" i="46"/>
  <c r="T82" i="46"/>
  <c r="R82" i="46"/>
  <c r="R70" i="46"/>
  <c r="R76" i="46"/>
  <c r="T79" i="46"/>
  <c r="T76" i="46"/>
  <c r="AA82" i="46"/>
  <c r="O73" i="46"/>
  <c r="O71" i="46"/>
  <c r="AA70" i="46"/>
  <c r="O78" i="46"/>
  <c r="O64" i="46"/>
  <c r="O69" i="46"/>
  <c r="X70" i="46"/>
  <c r="V70" i="46"/>
  <c r="P89" i="46"/>
  <c r="T62" i="46"/>
  <c r="V82" i="46"/>
  <c r="X82" i="46"/>
  <c r="Z91" i="46"/>
  <c r="R91" i="46"/>
  <c r="Z82" i="46"/>
  <c r="O74" i="46"/>
  <c r="AA79" i="46"/>
  <c r="Z79" i="46"/>
  <c r="V62" i="46"/>
  <c r="X62" i="46"/>
  <c r="O75" i="46"/>
  <c r="T70" i="46"/>
  <c r="P88" i="46"/>
  <c r="Y88" i="46"/>
  <c r="Z70" i="46"/>
  <c r="V93" i="46"/>
  <c r="X93" i="46"/>
  <c r="T93" i="46"/>
  <c r="R93" i="46"/>
  <c r="Z90" i="46"/>
  <c r="Q89" i="46"/>
  <c r="R90" i="46"/>
  <c r="Z65" i="46"/>
  <c r="Z58" i="46" s="1"/>
  <c r="R65" i="46"/>
  <c r="R49" i="46"/>
  <c r="Z49" i="46"/>
  <c r="Z48" i="46" s="1"/>
  <c r="AA90" i="46"/>
  <c r="S89" i="46"/>
  <c r="T90" i="46"/>
  <c r="Z76" i="46"/>
  <c r="X49" i="46"/>
  <c r="N48" i="46"/>
  <c r="O49" i="46" s="1"/>
  <c r="V49" i="46"/>
  <c r="V76" i="46"/>
  <c r="X76" i="46"/>
  <c r="X90" i="46"/>
  <c r="V90" i="46"/>
  <c r="N89" i="46"/>
  <c r="O92" i="46" s="1"/>
  <c r="T65" i="46"/>
  <c r="AA65" i="46"/>
  <c r="AA58" i="46" s="1"/>
  <c r="X51" i="46"/>
  <c r="V51" i="46"/>
  <c r="AA49" i="46"/>
  <c r="AA48" i="46" s="1"/>
  <c r="T49" i="46"/>
  <c r="S48" i="46"/>
  <c r="R51" i="46"/>
  <c r="X92" i="46"/>
  <c r="V92" i="46"/>
  <c r="AA91" i="46"/>
  <c r="T91" i="46"/>
  <c r="AA76" i="46"/>
  <c r="V79" i="46"/>
  <c r="X79" i="46"/>
  <c r="V92" i="40"/>
  <c r="V90" i="40"/>
  <c r="V93" i="40"/>
  <c r="AB48" i="40"/>
  <c r="Y76" i="40"/>
  <c r="Z89" i="40"/>
  <c r="X73" i="40"/>
  <c r="Y82" i="40"/>
  <c r="T69" i="40"/>
  <c r="V72" i="40"/>
  <c r="T72" i="40"/>
  <c r="V74" i="40"/>
  <c r="T54" i="40"/>
  <c r="Y70" i="40"/>
  <c r="Y79" i="40"/>
  <c r="Q89" i="40"/>
  <c r="P82" i="40"/>
  <c r="Z86" i="40"/>
  <c r="AA85" i="40"/>
  <c r="Z85" i="40"/>
  <c r="AA57" i="40"/>
  <c r="AA56" i="40"/>
  <c r="AA51" i="40"/>
  <c r="Z56" i="40"/>
  <c r="Z57" i="40"/>
  <c r="AA49" i="40"/>
  <c r="AA53" i="40"/>
  <c r="AA52" i="40"/>
  <c r="R81" i="40"/>
  <c r="Y48" i="40"/>
  <c r="X54" i="40"/>
  <c r="AA82" i="40"/>
  <c r="V60" i="40"/>
  <c r="AA69" i="40"/>
  <c r="X69" i="40"/>
  <c r="R74" i="40"/>
  <c r="Q82" i="40"/>
  <c r="V54" i="40"/>
  <c r="R69" i="40"/>
  <c r="T80" i="40"/>
  <c r="R67" i="40"/>
  <c r="R59" i="40"/>
  <c r="V69" i="32"/>
  <c r="V68" i="40"/>
  <c r="X77" i="40"/>
  <c r="T84" i="40"/>
  <c r="S82" i="40"/>
  <c r="Q79" i="40"/>
  <c r="R53" i="40"/>
  <c r="T87" i="40"/>
  <c r="V53" i="40"/>
  <c r="T53" i="40"/>
  <c r="V81" i="40"/>
  <c r="X81" i="40"/>
  <c r="R75" i="40"/>
  <c r="V87" i="40"/>
  <c r="R87" i="40"/>
  <c r="R54" i="40"/>
  <c r="R85" i="40"/>
  <c r="T77" i="40"/>
  <c r="R60" i="40"/>
  <c r="P76" i="40"/>
  <c r="S79" i="40"/>
  <c r="AA72" i="40"/>
  <c r="T78" i="40"/>
  <c r="Z87" i="40"/>
  <c r="V78" i="40"/>
  <c r="T52" i="40"/>
  <c r="P70" i="40"/>
  <c r="P79" i="40"/>
  <c r="S76" i="40"/>
  <c r="AA81" i="40"/>
  <c r="AA79" i="40" s="1"/>
  <c r="V85" i="40"/>
  <c r="V57" i="40"/>
  <c r="X52" i="40"/>
  <c r="V52" i="40"/>
  <c r="T85" i="40"/>
  <c r="P58" i="40"/>
  <c r="R52" i="40"/>
  <c r="X66" i="40"/>
  <c r="T57" i="40"/>
  <c r="R66" i="40"/>
  <c r="T81" i="40"/>
  <c r="Q76" i="40"/>
  <c r="Q70" i="40"/>
  <c r="R72" i="40"/>
  <c r="T68" i="40"/>
  <c r="R68" i="40"/>
  <c r="P48" i="40"/>
  <c r="N76" i="40"/>
  <c r="X59" i="40"/>
  <c r="AB82" i="40"/>
  <c r="V59" i="40"/>
  <c r="R77" i="40"/>
  <c r="Z15" i="32"/>
  <c r="T61" i="40"/>
  <c r="S70" i="40"/>
  <c r="W88" i="40"/>
  <c r="W94" i="40" s="1"/>
  <c r="G88" i="40"/>
  <c r="G94" i="40" s="1"/>
  <c r="J88" i="40"/>
  <c r="J94" i="40" s="1"/>
  <c r="H88" i="40"/>
  <c r="I82" i="40"/>
  <c r="T59" i="40"/>
  <c r="N58" i="40"/>
  <c r="T83" i="40"/>
  <c r="N82" i="40"/>
  <c r="U88" i="40"/>
  <c r="U94" i="40" s="1"/>
  <c r="AC82" i="40"/>
  <c r="R71" i="40"/>
  <c r="X71" i="40"/>
  <c r="T71" i="40"/>
  <c r="Z68" i="40"/>
  <c r="Y58" i="40"/>
  <c r="Z19" i="32"/>
  <c r="V62" i="40"/>
  <c r="AC79" i="40"/>
  <c r="K70" i="32"/>
  <c r="T62" i="40"/>
  <c r="AA26" i="32"/>
  <c r="Z13" i="32"/>
  <c r="X64" i="40"/>
  <c r="R64" i="40"/>
  <c r="Z66" i="40"/>
  <c r="Q48" i="40"/>
  <c r="V70" i="32"/>
  <c r="R49" i="40"/>
  <c r="J70" i="32"/>
  <c r="X67" i="40"/>
  <c r="T75" i="40"/>
  <c r="N70" i="40"/>
  <c r="V67" i="40"/>
  <c r="T67" i="40"/>
  <c r="T64" i="40"/>
  <c r="R51" i="40"/>
  <c r="V84" i="40"/>
  <c r="R65" i="40"/>
  <c r="T60" i="40"/>
  <c r="AA68" i="40"/>
  <c r="R78" i="40"/>
  <c r="AA67" i="40"/>
  <c r="X49" i="40"/>
  <c r="R84" i="40"/>
  <c r="P23" i="32"/>
  <c r="X65" i="40"/>
  <c r="T66" i="40"/>
  <c r="V65" i="40"/>
  <c r="Z78" i="40"/>
  <c r="Z76" i="40" s="1"/>
  <c r="T74" i="40"/>
  <c r="T91" i="40"/>
  <c r="V67" i="32"/>
  <c r="R63" i="40"/>
  <c r="V63" i="40"/>
  <c r="Z26" i="32"/>
  <c r="V51" i="40"/>
  <c r="Z5" i="32"/>
  <c r="T90" i="40"/>
  <c r="X92" i="40"/>
  <c r="R92" i="40"/>
  <c r="R90" i="40"/>
  <c r="X90" i="40"/>
  <c r="R56" i="40"/>
  <c r="AA76" i="40"/>
  <c r="V61" i="40"/>
  <c r="R61" i="40"/>
  <c r="X56" i="40"/>
  <c r="P89" i="40"/>
  <c r="N69" i="32"/>
  <c r="T56" i="40"/>
  <c r="R86" i="40"/>
  <c r="N48" i="40"/>
  <c r="X86" i="40"/>
  <c r="I79" i="40"/>
  <c r="N70" i="32"/>
  <c r="I70" i="32"/>
  <c r="AA19" i="32"/>
  <c r="AA5" i="32"/>
  <c r="T49" i="40"/>
  <c r="Y89" i="40"/>
  <c r="R93" i="40"/>
  <c r="X93" i="40"/>
  <c r="T93" i="40"/>
  <c r="V75" i="40"/>
  <c r="AA13" i="32"/>
  <c r="T51" i="40"/>
  <c r="T63" i="40"/>
  <c r="X75" i="40"/>
  <c r="AA15" i="32"/>
  <c r="S48" i="40"/>
  <c r="AC76" i="40"/>
  <c r="AB89" i="40"/>
  <c r="AB79" i="40"/>
  <c r="AC48" i="40"/>
  <c r="I89" i="40"/>
  <c r="AC58" i="40"/>
  <c r="AB70" i="40"/>
  <c r="AC70" i="40"/>
  <c r="Z79" i="40"/>
  <c r="AB76" i="40"/>
  <c r="I70" i="40"/>
  <c r="AC89" i="40"/>
  <c r="I76" i="40"/>
  <c r="R80" i="40"/>
  <c r="AB58" i="40"/>
  <c r="I58" i="40"/>
  <c r="I48" i="40"/>
  <c r="Z83" i="40"/>
  <c r="Z82" i="40" s="1"/>
  <c r="R83" i="40"/>
  <c r="R57" i="40"/>
  <c r="H70" i="32"/>
  <c r="AA65" i="40"/>
  <c r="T65" i="40"/>
  <c r="L70" i="32"/>
  <c r="AA92" i="40"/>
  <c r="AA89" i="40" s="1"/>
  <c r="T92" i="40"/>
  <c r="S89" i="40"/>
  <c r="AA86" i="40"/>
  <c r="T86" i="40"/>
  <c r="AA73" i="40"/>
  <c r="T73" i="40"/>
  <c r="X91" i="40"/>
  <c r="R91" i="40"/>
  <c r="V91" i="40"/>
  <c r="N89" i="40"/>
  <c r="O90" i="40" s="1"/>
  <c r="S58" i="40"/>
  <c r="Q69" i="32"/>
  <c r="Q70" i="32"/>
  <c r="Z73" i="40"/>
  <c r="Z70" i="40" s="1"/>
  <c r="R73" i="40"/>
  <c r="X83" i="40"/>
  <c r="V83" i="40"/>
  <c r="N79" i="40"/>
  <c r="V80" i="40"/>
  <c r="X80" i="40"/>
  <c r="N67" i="32"/>
  <c r="Z62" i="40"/>
  <c r="R62" i="40"/>
  <c r="Q58" i="40"/>
  <c r="Q67" i="32"/>
  <c r="T58" i="46" l="1"/>
  <c r="O67" i="46"/>
  <c r="O61" i="46"/>
  <c r="O62" i="46"/>
  <c r="O63" i="46"/>
  <c r="V58" i="46"/>
  <c r="O68" i="46"/>
  <c r="O66" i="46"/>
  <c r="X58" i="46"/>
  <c r="R58" i="46"/>
  <c r="O60" i="46"/>
  <c r="O59" i="46"/>
  <c r="Y94" i="46"/>
  <c r="Z89" i="46"/>
  <c r="O51" i="46"/>
  <c r="N88" i="46"/>
  <c r="O58" i="46" s="1"/>
  <c r="AA89" i="46"/>
  <c r="R48" i="46"/>
  <c r="AA88" i="46"/>
  <c r="P94" i="46"/>
  <c r="T48" i="46"/>
  <c r="S88" i="46"/>
  <c r="S94" i="46" s="1"/>
  <c r="G97" i="46"/>
  <c r="O90" i="46"/>
  <c r="G98" i="46"/>
  <c r="R89" i="46"/>
  <c r="Q94" i="46"/>
  <c r="O93" i="46"/>
  <c r="V48" i="46"/>
  <c r="X48" i="46"/>
  <c r="O50" i="46"/>
  <c r="O55" i="46"/>
  <c r="O54" i="46"/>
  <c r="O57" i="46"/>
  <c r="O52" i="46"/>
  <c r="O53" i="46"/>
  <c r="O56" i="46"/>
  <c r="I98" i="46"/>
  <c r="T89" i="46"/>
  <c r="X89" i="46"/>
  <c r="V89" i="46"/>
  <c r="O91" i="46"/>
  <c r="Z88" i="46"/>
  <c r="O91" i="40"/>
  <c r="O93" i="40"/>
  <c r="O92" i="40"/>
  <c r="O80" i="40"/>
  <c r="O81" i="40"/>
  <c r="O78" i="40"/>
  <c r="O77" i="40"/>
  <c r="O72" i="40"/>
  <c r="O73" i="40"/>
  <c r="O74" i="40"/>
  <c r="O75" i="40"/>
  <c r="O71" i="40"/>
  <c r="V58" i="40"/>
  <c r="O60" i="40"/>
  <c r="O64" i="40"/>
  <c r="O68" i="40"/>
  <c r="O61" i="40"/>
  <c r="O69" i="40"/>
  <c r="O62" i="40"/>
  <c r="O66" i="40"/>
  <c r="O59" i="40"/>
  <c r="O63" i="40"/>
  <c r="O67" i="40"/>
  <c r="O65" i="40"/>
  <c r="O50" i="40"/>
  <c r="O54" i="40"/>
  <c r="O49" i="40"/>
  <c r="O53" i="40"/>
  <c r="O51" i="40"/>
  <c r="O55" i="40"/>
  <c r="O52" i="40"/>
  <c r="O56" i="40"/>
  <c r="O57" i="40"/>
  <c r="X48" i="40"/>
  <c r="R89" i="40"/>
  <c r="Z48" i="40"/>
  <c r="AA70" i="40"/>
  <c r="AA48" i="40"/>
  <c r="Y88" i="40"/>
  <c r="Y94" i="40" s="1"/>
  <c r="R82" i="40"/>
  <c r="T76" i="40"/>
  <c r="P88" i="40"/>
  <c r="P94" i="40" s="1"/>
  <c r="V76" i="40"/>
  <c r="R76" i="40"/>
  <c r="X76" i="40"/>
  <c r="Z4" i="32"/>
  <c r="AB88" i="40"/>
  <c r="AB94" i="40" s="1"/>
  <c r="Q88" i="40"/>
  <c r="N88" i="40"/>
  <c r="X82" i="40"/>
  <c r="T82" i="40"/>
  <c r="V82" i="40"/>
  <c r="S88" i="40"/>
  <c r="X70" i="40"/>
  <c r="W70" i="32"/>
  <c r="Q71" i="32"/>
  <c r="R70" i="40"/>
  <c r="Z58" i="40"/>
  <c r="V70" i="40"/>
  <c r="T70" i="40"/>
  <c r="H94" i="40"/>
  <c r="I94" i="40" s="1"/>
  <c r="AA58" i="40"/>
  <c r="G98" i="40"/>
  <c r="H98" i="40" s="1"/>
  <c r="X58" i="40"/>
  <c r="T48" i="40"/>
  <c r="V48" i="40"/>
  <c r="R48" i="40"/>
  <c r="AA4" i="32"/>
  <c r="AC88" i="40"/>
  <c r="AC94" i="40" s="1"/>
  <c r="T58" i="40"/>
  <c r="R58" i="40"/>
  <c r="I88" i="40"/>
  <c r="I98" i="40"/>
  <c r="T89" i="40"/>
  <c r="H75" i="32"/>
  <c r="V71" i="32"/>
  <c r="V79" i="40"/>
  <c r="X79" i="40"/>
  <c r="T79" i="40"/>
  <c r="R79" i="40"/>
  <c r="V89" i="40"/>
  <c r="X89" i="40"/>
  <c r="N71" i="32"/>
  <c r="Z94" i="46" l="1"/>
  <c r="R88" i="46"/>
  <c r="O82" i="46"/>
  <c r="N94" i="46"/>
  <c r="O89" i="46" s="1"/>
  <c r="X88" i="46"/>
  <c r="O70" i="46"/>
  <c r="O86" i="46"/>
  <c r="V88" i="46"/>
  <c r="H97" i="46"/>
  <c r="O85" i="46"/>
  <c r="O48" i="46"/>
  <c r="O76" i="46"/>
  <c r="O79" i="46"/>
  <c r="O87" i="46"/>
  <c r="AA94" i="46"/>
  <c r="T94" i="46"/>
  <c r="H98" i="46"/>
  <c r="G99" i="46"/>
  <c r="T88" i="46"/>
  <c r="I97" i="46"/>
  <c r="K97" i="46" s="1"/>
  <c r="K98" i="46"/>
  <c r="N94" i="40"/>
  <c r="O89" i="40" s="1"/>
  <c r="O82" i="40"/>
  <c r="O86" i="40"/>
  <c r="O70" i="40"/>
  <c r="O85" i="40"/>
  <c r="O58" i="40"/>
  <c r="O79" i="40"/>
  <c r="O87" i="40"/>
  <c r="O76" i="40"/>
  <c r="O48" i="40"/>
  <c r="Q94" i="40"/>
  <c r="G97" i="40"/>
  <c r="H97" i="40" s="1"/>
  <c r="Z88" i="40"/>
  <c r="Z94" i="40" s="1"/>
  <c r="T88" i="40"/>
  <c r="S94" i="40"/>
  <c r="AA88" i="40"/>
  <c r="AA94" i="40" s="1"/>
  <c r="I97" i="40"/>
  <c r="K97" i="40" s="1"/>
  <c r="X88" i="40"/>
  <c r="V88" i="40"/>
  <c r="R88" i="40"/>
  <c r="K98" i="40"/>
  <c r="R94" i="46" l="1"/>
  <c r="O88" i="46"/>
  <c r="O94" i="46" s="1"/>
  <c r="V94" i="46"/>
  <c r="X94" i="46"/>
  <c r="H99" i="46"/>
  <c r="I99" i="46"/>
  <c r="K99" i="46" s="1"/>
  <c r="X94" i="40"/>
  <c r="V94" i="40"/>
  <c r="O88" i="40"/>
  <c r="O94" i="40" s="1"/>
  <c r="R94" i="40"/>
  <c r="T94" i="40"/>
  <c r="I99" i="40"/>
  <c r="K99" i="40" s="1"/>
  <c r="G99" i="40"/>
  <c r="H99" i="40" s="1"/>
</calcChain>
</file>

<file path=xl/comments1.xml><?xml version="1.0" encoding="utf-8"?>
<comments xmlns="http://schemas.openxmlformats.org/spreadsheetml/2006/main">
  <authors>
    <author>Andrea Maribel Roa Buitrago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OAP 4.033.718  APR BLOQ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Andrea Maribel Roa Buitrago</author>
  </authors>
  <commentList>
    <comment ref="N49" authorId="0" shapeId="0">
      <text>
        <r>
          <rPr>
            <b/>
            <sz val="9"/>
            <color indexed="81"/>
            <rFont val="Tahoma"/>
            <family val="2"/>
          </rPr>
          <t>Andrea Maribel Roa Buitrago:</t>
        </r>
        <r>
          <rPr>
            <sz val="9"/>
            <color indexed="81"/>
            <rFont val="Tahoma"/>
            <family val="2"/>
          </rPr>
          <t xml:space="preserve">
-$913M  trasladados a  proyecto  torre El Dorado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Andrea Maribel Roa Buitrago:</t>
        </r>
        <r>
          <rPr>
            <sz val="9"/>
            <color indexed="81"/>
            <rFont val="Tahoma"/>
            <family val="2"/>
          </rPr>
          <t xml:space="preserve">
+$913M   Adicionados  a torre El Dorado</t>
        </r>
      </text>
    </comment>
    <comment ref="U61" authorId="0" shapeId="0">
      <text>
        <r>
          <rPr>
            <sz val="9"/>
            <color indexed="81"/>
            <rFont val="Tahoma"/>
            <family val="2"/>
          </rPr>
          <t xml:space="preserve">
OAP:  03  de  Junio:  </t>
        </r>
        <r>
          <rPr>
            <b/>
            <sz val="9"/>
            <color indexed="81"/>
            <rFont val="Tahoma"/>
            <family val="2"/>
          </rPr>
          <t>El  Proyecto  Presenta  disminucion de  apropiacion  de $2000  millones objeto de  Traslado Pptal.
Sujeto a  modificacion de  meta  Compromisos  de  Julio:   de  4,000 millones  a 2,000   teniendo  en  cuenta  la  apropiacion  bloqueada  de  3000  millones  y  programados   para  diciembre.
Nota: se  aplica  cambio  en   hoja de  "Resumen "</t>
        </r>
      </text>
    </comment>
    <comment ref="U65" authorId="0" shapeId="0">
      <text>
        <r>
          <rPr>
            <b/>
            <sz val="9"/>
            <color indexed="81"/>
            <rFont val="Tahoma"/>
            <family val="2"/>
          </rPr>
          <t>OAP:  :  El  Proyecto  Presenta  disminucion de  apropiacion  $1,226 millones</t>
        </r>
      </text>
    </comment>
    <comment ref="U67" authorId="0" shapeId="0">
      <text>
        <r>
          <rPr>
            <sz val="9"/>
            <color indexed="81"/>
            <rFont val="Tahoma"/>
            <family val="2"/>
          </rPr>
          <t xml:space="preserve">
OAP:  03  de  Junio: </t>
        </r>
        <r>
          <rPr>
            <b/>
            <sz val="9"/>
            <color indexed="81"/>
            <rFont val="Tahoma"/>
            <family val="2"/>
          </rPr>
          <t>El  Proyecto  Presenta  disminución de  apropiacion  de $4,923  millones objeto de  Traslado Pptal.
Sujeto a  modificacion de  meta de compromisos de  julio:  4,500 millones  a 339  teniendo  en  cuenta  la  apropiacion  bloqueada  de  738 millones.
Nota: se  aplica  cambio  en   hoja de  "Resumen"</t>
        </r>
      </text>
    </comment>
    <comment ref="W67" authorId="0" shapeId="0">
      <text>
        <r>
          <rPr>
            <b/>
            <sz val="9"/>
            <color indexed="81"/>
            <rFont val="Tahoma"/>
            <family val="2"/>
          </rPr>
          <t>OAP:  03  de  Junio: El  Proyecto  Presenta  disminución de  apropiacion  de $4,923  millones objeto de  Traslado Pptal.
Sujeto a  modificacion de  meta de compromisos de  julio:  4,500 millones  a 339  teniendo  en  cuenta  la  apropiacion  bloqueada  de  738 millones.
Nota: se  aplica  cambio  en   hoja de  "Resumen"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OAP:  Mediante  Resolucion 599 del  08 de  marzo  de 2016   se  define   proyecto  a cargo de  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95" authorId="0" shapeId="0">
      <text>
        <r>
          <rPr>
            <b/>
            <sz val="9"/>
            <color indexed="81"/>
            <rFont val="Tahoma"/>
            <family val="2"/>
          </rPr>
          <t xml:space="preserve">03 Junio OAP:   Valor  disminuido   en Metas  Inversion- Compromisos - VP,    en  razon  a    disminucion  de  apropiacion  de  2  proyectos  de  Telecomunicaciones   por  efecto  de   traslados  presupuestales.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5" authorId="0" shapeId="0">
      <text>
        <r>
          <rPr>
            <b/>
            <sz val="9"/>
            <color indexed="81"/>
            <rFont val="Tahoma"/>
            <family val="2"/>
          </rPr>
          <t xml:space="preserve">03 de junio OAP:   Valor  disminuido   en Metas  Inversion- Obligaciones- VP,    en  razon  a    disminucion  de  apropiacion  de  1  proyecto  de  Telecomunicaciones   por  efecto  de   traslados  presupuestales.  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Andrea Maribel Roa Buitrago</author>
  </authors>
  <commentList>
    <comment ref="N49" authorId="0" shapeId="0">
      <text>
        <r>
          <rPr>
            <b/>
            <sz val="9"/>
            <color indexed="81"/>
            <rFont val="Tahoma"/>
            <family val="2"/>
          </rPr>
          <t>Andrea Maribel Roa Buitrago:</t>
        </r>
        <r>
          <rPr>
            <sz val="9"/>
            <color indexed="81"/>
            <rFont val="Tahoma"/>
            <family val="2"/>
          </rPr>
          <t xml:space="preserve">
-$913M  trasladados a  proyecto  torre El Dorado</t>
        </r>
      </text>
    </comment>
    <comment ref="U49" authorId="0" shapeId="0">
      <text>
        <r>
          <rPr>
            <b/>
            <sz val="9"/>
            <color indexed="81"/>
            <rFont val="Tahoma"/>
            <family val="2"/>
          </rPr>
          <t>05  agosto. Se  realiza ajuste  por  disminucion de apro (tp) de 913 millones,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Andrea Maribel Roa Buitrago:</t>
        </r>
        <r>
          <rPr>
            <sz val="9"/>
            <color indexed="81"/>
            <rFont val="Tahoma"/>
            <family val="2"/>
          </rPr>
          <t xml:space="preserve">
+$913M   Adicionados  a torre El Dorado</t>
        </r>
      </text>
    </comment>
    <comment ref="U53" authorId="0" shapeId="0">
      <text>
        <r>
          <rPr>
            <b/>
            <sz val="9"/>
            <color indexed="81"/>
            <rFont val="Tahoma"/>
            <family val="2"/>
          </rPr>
          <t xml:space="preserve">05 agosto: se realizo ajuste por disminucion  apro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59" authorId="0" shapeId="0">
      <text>
        <r>
          <rPr>
            <b/>
            <sz val="9"/>
            <color indexed="81"/>
            <rFont val="Tahoma"/>
            <family val="2"/>
          </rPr>
          <t>05 ago. Ajuste  por disminicion aprropacion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1" authorId="0" shapeId="0">
      <text>
        <r>
          <rPr>
            <sz val="9"/>
            <color indexed="81"/>
            <rFont val="Tahoma"/>
            <family val="2"/>
          </rPr>
          <t xml:space="preserve">
OAP:  03  de  Junio:  </t>
        </r>
        <r>
          <rPr>
            <b/>
            <sz val="9"/>
            <color indexed="81"/>
            <rFont val="Tahoma"/>
            <family val="2"/>
          </rPr>
          <t>El  Proyecto  Presenta  disminucion de  apropiacion  de $2000  millones objeto de  Traslado Pptal.
Sujeto a  modificacion de  meta  Compromisos  de  Julio:   de  4,000 millones  a 2,000   teniendo  en  cuenta  la  apropiacion  bloqueada  de  3000  millones  y  programados   para  diciembre.
Nota: se  aplica  cambio  en   hoja de  "Resumen "</t>
        </r>
      </text>
    </comment>
    <comment ref="U65" authorId="0" shapeId="0">
      <text>
        <r>
          <rPr>
            <b/>
            <sz val="9"/>
            <color indexed="81"/>
            <rFont val="Tahoma"/>
            <family val="2"/>
          </rPr>
          <t>05 agosto. Ajuste por disminucio de apropi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67" authorId="0" shapeId="0">
      <text>
        <r>
          <rPr>
            <sz val="9"/>
            <color indexed="81"/>
            <rFont val="Tahoma"/>
            <family val="2"/>
          </rPr>
          <t xml:space="preserve">
OAP:  03  de  Junio: </t>
        </r>
        <r>
          <rPr>
            <b/>
            <sz val="9"/>
            <color indexed="81"/>
            <rFont val="Tahoma"/>
            <family val="2"/>
          </rPr>
          <t>El  Proyecto  Presenta  disminución de  apropiacion  de $4,923  millones objeto de  Traslado Pptal.
Sujeto a  modificacion de  meta de compromisos de  julio:  4,500 millones  a 339  teniendo  en  cuenta  la  apropiacion  bloqueada  de  738 millones.
Nota: se  aplica  cambio  en   hoja de  "Resumen"</t>
        </r>
      </text>
    </comment>
    <comment ref="W67" authorId="0" shapeId="0">
      <text>
        <r>
          <rPr>
            <b/>
            <sz val="9"/>
            <color indexed="81"/>
            <rFont val="Tahoma"/>
            <family val="2"/>
          </rPr>
          <t>OAP:  03  de  Junio: El  Proyecto  Presenta  disminución de  apropiacion  de $4,923  millones objeto de  Traslado Pptal.
Sujeto a  modificacion de  meta de compromisos de  julio:  4,500 millones  a 339  teniendo  en  cuenta  la  apropiacion  bloqueada  de  738 millones.
Nota: se  aplica  cambio  en   hoja de  "Resumen"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OAP:  Mediante  Resolucion 599 del  08 de  marzo  de 2016   se  define   proyecto  a cargo de  SSA.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95" authorId="0" shapeId="0">
      <text>
        <r>
          <rPr>
            <b/>
            <sz val="9"/>
            <color indexed="81"/>
            <rFont val="Tahoma"/>
            <family val="2"/>
          </rPr>
          <t xml:space="preserve">OAP:   Valor  disminuido   en Metas  Inversion- Compromisos - VP,    en  razon  a    disminucion  de  apropiacion  de   proyectos  de   DDA, DSSA Telecomunicaciones   por  efecto  de   traslados  presupuestales.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95" authorId="0" shapeId="0">
      <text>
        <r>
          <rPr>
            <b/>
            <sz val="9"/>
            <color indexed="81"/>
            <rFont val="Tahoma"/>
            <family val="2"/>
          </rPr>
          <t xml:space="preserve">OAP:   Valor  disminuido   en Metas  Inversion- Obligaciones- VP,    en  razon  a    disminucion  de  apropiacion  de  1  proyecto  de  Telecomunicaciones   por  efecto  de   traslados  presupuestales.  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<sst xmlns="http://schemas.openxmlformats.org/spreadsheetml/2006/main" count="1336" uniqueCount="276">
  <si>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</si>
  <si>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</si>
  <si>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</si>
  <si>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</si>
  <si>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</si>
  <si>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</si>
  <si>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</si>
  <si>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</si>
  <si>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</si>
  <si>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</si>
  <si>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</si>
  <si>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</si>
  <si>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</si>
  <si>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</si>
  <si>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</si>
  <si>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</si>
  <si>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</si>
  <si>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</si>
  <si>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</si>
  <si>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</si>
  <si>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</si>
  <si>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</si>
  <si>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</si>
  <si>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</si>
  <si>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</si>
  <si>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</si>
  <si>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</si>
  <si>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</si>
  <si>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</si>
  <si>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</si>
  <si>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24-12-00</t>
  </si>
  <si>
    <t>UNIDAD ADMINISTRATIVA ESPECIAL DE LA AERONAUTICA CIVIL</t>
  </si>
  <si>
    <t>A-1-0-1-1</t>
  </si>
  <si>
    <t>A</t>
  </si>
  <si>
    <t>1</t>
  </si>
  <si>
    <t>0</t>
  </si>
  <si>
    <t>Propios</t>
  </si>
  <si>
    <t>20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</si>
  <si>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</si>
  <si>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</si>
  <si>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</si>
  <si>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</si>
  <si>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</si>
  <si>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</si>
  <si>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</si>
  <si>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</si>
  <si>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</si>
  <si>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</si>
  <si>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</si>
  <si>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A-1-0-1-10</t>
  </si>
  <si>
    <t>10</t>
  </si>
  <si>
    <t>OTROS GASTOS PERSONALES - PREVIO CONCEPTO DGPPN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</si>
  <si>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</si>
  <si>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</si>
  <si>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</si>
  <si>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</si>
  <si>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</si>
  <si>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</si>
  <si>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</si>
  <si>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</si>
  <si>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</si>
  <si>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</si>
  <si>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</si>
  <si>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CUOTA DE AUDITAJE CONTRANAL</t>
  </si>
  <si>
    <t>A-3-4-1-26</t>
  </si>
  <si>
    <t>COMISION LATINOAMERICANA DE AVIACION CIVIL- CLAC. - LEY 622/2000</t>
  </si>
  <si>
    <t>A-3-4-1-78</t>
  </si>
  <si>
    <t>ORGANIZACION DE AVIACION CIVIL INTERNACIONAL -OACI - LEY 12 DE 1947</t>
  </si>
  <si>
    <t>A-3-6-1-1</t>
  </si>
  <si>
    <t>6</t>
  </si>
  <si>
    <t>SENTENCIAS Y CONCILIACIONES</t>
  </si>
  <si>
    <t>OTROS GASTOS</t>
  </si>
  <si>
    <t>COMPRA DE BIENES Y SERVICIOS</t>
  </si>
  <si>
    <t>B-7-1-4</t>
  </si>
  <si>
    <t>7</t>
  </si>
  <si>
    <t>PROVEEDORES</t>
  </si>
  <si>
    <t>B-7-2-4</t>
  </si>
  <si>
    <t>C-111-608-106</t>
  </si>
  <si>
    <t>C</t>
  </si>
  <si>
    <t>111</t>
  </si>
  <si>
    <t>608</t>
  </si>
  <si>
    <t>106</t>
  </si>
  <si>
    <t>Nación</t>
  </si>
  <si>
    <t>11</t>
  </si>
  <si>
    <t>CONSTRUCCION DE INFRAESTRUCTURA AEROPORTUARIA A NIVEL NACIONAL</t>
  </si>
  <si>
    <t>21</t>
  </si>
  <si>
    <t>C-111-608-505</t>
  </si>
  <si>
    <t>505</t>
  </si>
  <si>
    <t>CONSTRUCCIÓN MEJORAMIENTO DE INFRAESTRUCTURA AEROPORTUARIA AEROPUERTO EL DORADO</t>
  </si>
  <si>
    <t>C-112-608-1</t>
  </si>
  <si>
    <t>112</t>
  </si>
  <si>
    <t>ADQUISICION TERRENOS PARA CONSTRUCCION Y AMPLIACION DE AEROPUERTOS</t>
  </si>
  <si>
    <t>C-113-608-2</t>
  </si>
  <si>
    <t>113</t>
  </si>
  <si>
    <t>MEJORAMIENTO Y RECUPERACION ESTACIONES DE RADIOAYUDAS A NIVEL NACIONAL.</t>
  </si>
  <si>
    <t>C-113-608-3</t>
  </si>
  <si>
    <t>MANTENIMIENTO Y CONSERVACION DE LA INFRAESTRUCTURA AEROPORTUARIA.</t>
  </si>
  <si>
    <t>C-113-608-119</t>
  </si>
  <si>
    <t>119</t>
  </si>
  <si>
    <t>ADECUACION MANTENIMIENTO Y MEJORAMIENTO DE LA INFRAESTRUCTURA AMBIENTAL AEROPORTUARIA</t>
  </si>
  <si>
    <t>C-123-608-1</t>
  </si>
  <si>
    <t>123</t>
  </si>
  <si>
    <t>MEJORAMIENTO Y MANTENIMIENTO DE LA INFRAESTRUCTURA ADMINISTRATIVA A NIVEL NACIONAL.</t>
  </si>
  <si>
    <t>C-213-608-1</t>
  </si>
  <si>
    <t>213</t>
  </si>
  <si>
    <t>ADQUISICION DE EQUIPOS Y SISTEMAS DE ENERGIA SOLAR Y COMERCIAL A NIVEL NACIONAL</t>
  </si>
  <si>
    <t>C-213-608-2</t>
  </si>
  <si>
    <t>ADQUISICION DE EQUIPOS DE PROTECCION Y EXTINCION DE INCENDIOS BUSQUEDA Y RESCATE.</t>
  </si>
  <si>
    <t>C-213-608-3</t>
  </si>
  <si>
    <t>MANTENIMIENTO Y CONSERVACION DE EQUIPOS DE EXTINCION DE INCENDIOS Y BUSQUEDA Y RESCATE.</t>
  </si>
  <si>
    <t>C-213-608-4</t>
  </si>
  <si>
    <t>ADQUISICION SERVICIO RED INTEGRADA DE MICROONDAS,CANALES TELEFONICOS Y TELEGRAFICOS NIVEL NACIONAL</t>
  </si>
  <si>
    <t>C-213-608-5</t>
  </si>
  <si>
    <t>ADQUISICION DE EQUIPOS Y SISTEMAS PARA LA RED METEOROLOGICA AERONAUTICA.</t>
  </si>
  <si>
    <t>C-213-608-6</t>
  </si>
  <si>
    <t>ADQUISICION DE EQUIPOS PARA REDES DE TELECOMUNICACIONES.</t>
  </si>
  <si>
    <t>C-213-608-7</t>
  </si>
  <si>
    <t>MANTENIMIENTO Y CONSERVACION DE EQUIPOS Y SISTEMAS AEROPORTUARIOS A NIVEL NACIONAL.</t>
  </si>
  <si>
    <t>C-213-608-8</t>
  </si>
  <si>
    <t>8</t>
  </si>
  <si>
    <t>ADQUISICION Y RENOVACION DE EQUIPOS Y ELEMENTOS PARA LA SEGURIDAD EN AEROPUERTOS.</t>
  </si>
  <si>
    <t>C-213-608-9</t>
  </si>
  <si>
    <t>AMPLIACION RED DE RADARES A NIVEL NACIONAL.</t>
  </si>
  <si>
    <t>C-213-608-10</t>
  </si>
  <si>
    <t>MANTENIMIENTO Y CONSERVACION DEL SISTEMA DE TELECOMUNICACIONES Y AYUDAS A LA NAVEGACION AEREA A NIVEL NACIONAL.</t>
  </si>
  <si>
    <t>C-213-608-11</t>
  </si>
  <si>
    <t>ADQUISICION DE EQUIPOS DEL PLAN NACIONAL DE AERONAVEGACION A NIVELNACIONAL.</t>
  </si>
  <si>
    <t>C-213-608-12</t>
  </si>
  <si>
    <t>12</t>
  </si>
  <si>
    <t>ADQUISICION EQUIPOS Y REPUESTOS PARA SISTEMAS AEROPORTUARIOS NIVELNACIONAL</t>
  </si>
  <si>
    <t>C-213-608-13</t>
  </si>
  <si>
    <t>13</t>
  </si>
  <si>
    <t>MANTENIMIENTO Y CONSERVACION DE EQUIPO AEREO.</t>
  </si>
  <si>
    <t>C-213-608-14</t>
  </si>
  <si>
    <t>14</t>
  </si>
  <si>
    <t>MANTENIMIENTO Y CONSERVACION DE EQUIPOS DE SEGURIDAD AEROPORTUARIA.</t>
  </si>
  <si>
    <t>C-213-608-15</t>
  </si>
  <si>
    <t>15</t>
  </si>
  <si>
    <t>REPOSICION Y MANTENIMIENTO PARQUE AUTOMOTOR PARA LA OPERACION DE LA INFRAESTRUCTURA AERONAUTICA Y AEROPORTUARIA</t>
  </si>
  <si>
    <t>C-213-608-16</t>
  </si>
  <si>
    <t>16</t>
  </si>
  <si>
    <t>ADQUISICIÓN EQUIPOS Y SISTEMAS AERONAUTICOS Y AEROPORTUARIOS AEROPUERTO EL DORADO</t>
  </si>
  <si>
    <t>C-213-608-18</t>
  </si>
  <si>
    <t>18</t>
  </si>
  <si>
    <t>ADQUISICION DE SISTEMAS Y SERVICIOS INFORMATICOS PARA EL PLAN NACIONAL DE INFORMATICA.</t>
  </si>
  <si>
    <t>C-213-608-19</t>
  </si>
  <si>
    <t>19</t>
  </si>
  <si>
    <t>MANTENIMIENTO Y CONSERVACION DE EQUIPOS DE COMPUTACION.</t>
  </si>
  <si>
    <t>C-213-608-31</t>
  </si>
  <si>
    <t>31</t>
  </si>
  <si>
    <t>ADQUISICION DE EQUIPOS Y SERVICIOS MEDICOS PARA SANIDADES AEROPORTUARIAS</t>
  </si>
  <si>
    <t>C-213-608-34</t>
  </si>
  <si>
    <t>34</t>
  </si>
  <si>
    <t>ADQUISICION DE SERVICIOS DE SEGURIDAD PARA EL CONTROL Y OPERACION DE LOS SISTEMAS DE SEGURIDAD AEROPORTUARIA Y AYUDAS A LA NAVEGACION AEREA.</t>
  </si>
  <si>
    <t>C-320-608-1</t>
  </si>
  <si>
    <t>320</t>
  </si>
  <si>
    <t>APLICACION DE LOS PROGRAMAS DE SALUD OCUPACIONAL.</t>
  </si>
  <si>
    <t>C-450-608-1</t>
  </si>
  <si>
    <t>450</t>
  </si>
  <si>
    <t>LEVANTAMIENTO DE INFORMACION PARA ESTUDIOS, PLANES Y PROGRAMAS AMBIENTALES</t>
  </si>
  <si>
    <t>C-510-608-2</t>
  </si>
  <si>
    <t>510</t>
  </si>
  <si>
    <t>CAPACITACION PERSONAL TECNICO Y ADMINISTRATIVO.</t>
  </si>
  <si>
    <t>C-510-608-4</t>
  </si>
  <si>
    <t>ASESORIA Y SERVICIOS DE CONSULTORIA.</t>
  </si>
  <si>
    <t>C-510-608-17</t>
  </si>
  <si>
    <t>17</t>
  </si>
  <si>
    <t>CONTROL OPERACIONAL PARA GARANTIZAR LA SEGURIDAD AEREA</t>
  </si>
  <si>
    <t>COMPROMISOS</t>
  </si>
  <si>
    <t>OBLIGACIONES</t>
  </si>
  <si>
    <t>FUNCIONAMIENTO</t>
  </si>
  <si>
    <t>TRANSFERENCIAS</t>
  </si>
  <si>
    <t>GASTOS DE COMERCIALIZACION Y PRODUCCION</t>
  </si>
  <si>
    <t>INVERSION</t>
  </si>
  <si>
    <t>PROYECTOS DE  INVERSION</t>
  </si>
  <si>
    <t>CONSTRUCION MEJORAMIENTO DE INFRAESTRUCTURA AEROPUERTO EL DORADO</t>
  </si>
  <si>
    <t>ADQUISICION  TERRENOS PARA  CONTRUCCION Y  AMPLIACION DE AEROPUERTOS</t>
  </si>
  <si>
    <t>MEJORAMIENTO Y RECUPERACION ESTACIONES DE RADIOAYUDAS A NIVEL NACIONAL</t>
  </si>
  <si>
    <t>ADECUACION MANTENIMIENTO Y MEJORAMIENTO DE LA INFRAESTRUCTURA AMBIENTAL AEROPORTUARIA.</t>
  </si>
  <si>
    <t>MEJORAMIENTO Y MANTENIMIENTO DE LA INFRAESTRUCTURA ADMINISTRATIVA A NIVEL NACIONAL</t>
  </si>
  <si>
    <t>ADQUISICION DE EQUIPOS Y SISTEMAS DE ENERGIA SOLAR Y COMERCIAL A NIVEL NACIONAL.</t>
  </si>
  <si>
    <t>ADQUISICION SERVICIO RED INTEGRADA DE MICROONDAS, CANALES TELEFONICOS Y TELEGRAFICOS NIVEL NACIONAL.</t>
  </si>
  <si>
    <t>AMPLIACION RED DE RADARES A NIVEL NACIONAL</t>
  </si>
  <si>
    <t>MANTENIMIENTO Y CONSERVACION DEL SISTEMA DE TELECOMUNICACIONES Y AYUDAS A LA NAVEGACION AEREA A NIVEL NACIONAL</t>
  </si>
  <si>
    <t>ADQUISICION DE EQUIPOS DEL PLAN NACIONAL DE AERONAVEGACION A NIVEL NACIONAL.</t>
  </si>
  <si>
    <t>ADQUISICION EQUIPOS Y REPUESTOS PARA SISTEMAS AEROPORTUARIOS NIVEL NACIONAL.</t>
  </si>
  <si>
    <t>REPOSICION Y MANTENIMIENTO PARQUE AUTOMOTOR PARA LA OPERACION DE LA INFRAESTRUCTURA AERONAUTICA Y AEROPORTUARIA.</t>
  </si>
  <si>
    <t>ADQUISICION EQUIPOS Y SISTEMAS AERONAUTICOS Y AEROPORTUARIOS AEROPUERTO EL DORADO</t>
  </si>
  <si>
    <t>ADQUISICION DE EQUIPOS Y SERVICIOS MEDICOS PARA SANIDADES AEROPORTUARIAS.</t>
  </si>
  <si>
    <t>LEVANTAMIENTO DE INFORMACION PARA  ESTUDIOS PLANES Y  PROGRAMAS AMBIENTALES</t>
  </si>
  <si>
    <t>ASESORIA Y SERVICIOS DE CONSULTORIA</t>
  </si>
  <si>
    <t>INVERSIÓN</t>
  </si>
  <si>
    <t>FUNCIONAMIENTO-INVERSION</t>
  </si>
  <si>
    <t>GASTOS DE FUNCIONAMIENTO - SERVICIO DE DEUDA</t>
  </si>
  <si>
    <t>%</t>
  </si>
  <si>
    <t>TOTAL  INVERSION</t>
  </si>
  <si>
    <t>AERONAUTICA CIVIL  - Seguimiento Por Proyecto</t>
  </si>
  <si>
    <t>TOTAL INVERSION</t>
  </si>
  <si>
    <t>TOTAL FUNCIONAMIENTO- INVERSION</t>
  </si>
  <si>
    <t>Áreas</t>
  </si>
  <si>
    <t>SSA</t>
  </si>
  <si>
    <t>CEA</t>
  </si>
  <si>
    <t>Subdirección</t>
  </si>
  <si>
    <t>Talento Humano</t>
  </si>
  <si>
    <t>TOTAL  FUNCIONAMIENTO</t>
  </si>
  <si>
    <t>FUNCIONAMIENTO - INVERSION</t>
  </si>
  <si>
    <t>PERSONAL</t>
  </si>
  <si>
    <t>GRAL</t>
  </si>
  <si>
    <t>PENDIENTE  DICIEMBRE</t>
  </si>
  <si>
    <t>INFORMATICA</t>
  </si>
  <si>
    <t>A-5-1-1</t>
  </si>
  <si>
    <t>A-5-2-2-1</t>
  </si>
  <si>
    <t>RESPONSABLE</t>
  </si>
  <si>
    <t xml:space="preserve">Ing. JORGE IVAN SALAZAR GIRALDO </t>
  </si>
  <si>
    <t>CONSTRUCCIÓN PISTA AEROPUERTO DE IPIALES NARIÑO - PREVIO CONCEPTO DNP</t>
  </si>
  <si>
    <t>Dr. SANTIAGO VALDERRAMA PEREZ</t>
  </si>
  <si>
    <t xml:space="preserve">AMPLIACION , MANTENIMIENTO Y MEJORAMIENTO DE LA INFRAESTRUCTURA AEROPORTUARIA . AEROPUERTOS COMUNITARIOS. </t>
  </si>
  <si>
    <t>Ing. ANIBAL GUSTAVO ADOLFO GRISALES</t>
  </si>
  <si>
    <t>Dr. ALEJANDRO ROSA MUSKUS (E )</t>
  </si>
  <si>
    <t xml:space="preserve">Cr. LUIS CARLOS CORDOBA AVENDAÑO </t>
  </si>
  <si>
    <t>Ing. NICOLAS CARRIZOSA PULIDO</t>
  </si>
  <si>
    <t>Amarillo</t>
  </si>
  <si>
    <t xml:space="preserve">Cumple  compromisos </t>
  </si>
  <si>
    <t>No  cumple  Obligaciones  pero  supera   el  50%  de  la meta  Programada</t>
  </si>
  <si>
    <t>Rojo</t>
  </si>
  <si>
    <t>No cumple   compromisos</t>
  </si>
  <si>
    <t>No cumple   Obligaciones</t>
  </si>
  <si>
    <t>Cumple   Obligaciones</t>
  </si>
  <si>
    <t>Cumple Compromisos</t>
  </si>
  <si>
    <t xml:space="preserve">No Cumple  Obligaciones </t>
  </si>
  <si>
    <t>verde</t>
  </si>
  <si>
    <t>Cumple  Obligaciones</t>
  </si>
  <si>
    <t>Meta  programada  0%</t>
  </si>
  <si>
    <t>Meta  programada  O%</t>
  </si>
  <si>
    <t>RUBRO PPTAL</t>
  </si>
  <si>
    <t>DESARROLLO  AEROPORTUARIO</t>
  </si>
  <si>
    <t>TELECOMUNICACIONES</t>
  </si>
  <si>
    <t>SEGURIDAD  AEROPORTUARIA</t>
  </si>
  <si>
    <t>SECRETARIA  GENERAL</t>
  </si>
  <si>
    <t>GASTOS DE PERSONAL</t>
  </si>
  <si>
    <t>GASTOS GENERALES</t>
  </si>
  <si>
    <t xml:space="preserve">OBLIGACIONES </t>
  </si>
  <si>
    <t>AERONAUTICA CIVIL
PRESUPUESTO 2016</t>
  </si>
  <si>
    <t>APROPIACION  BLOQUEADA
(APLAZAMIENTOS)</t>
  </si>
  <si>
    <t>EJECUCION  CON  APLAZAMIENTO</t>
  </si>
  <si>
    <t>Reservas</t>
  </si>
  <si>
    <t>C-111-608-504</t>
  </si>
  <si>
    <t>504</t>
  </si>
  <si>
    <t>CONSTRUCCIÓN DE LA PISTA DEL AEROPUERTO DE IPIALES NARIÑO</t>
  </si>
  <si>
    <t>C-113-608-129</t>
  </si>
  <si>
    <t>129</t>
  </si>
  <si>
    <t>AMPLIACION MANTENIMIENTO Y MEJORAMIENTO DE LA INFRAESTRUCTURA AEROPORTUARIA  AEROPUERTOS COMUNITARIOS</t>
  </si>
  <si>
    <t>DIFERENCIAS  OBLIGACION VS PAGO</t>
  </si>
  <si>
    <t xml:space="preserve">APROPIACION  VIGENTE
2016 </t>
  </si>
  <si>
    <t>RESERVAS 
 2015</t>
  </si>
  <si>
    <t>RESUMEN  EJECUCION    VIGENCIA  2016</t>
  </si>
  <si>
    <t xml:space="preserve">PENDIENTE  POR  EJECUTAR
</t>
  </si>
  <si>
    <t>RESUMEN  EJECUCION  RESERVAS 2015</t>
  </si>
  <si>
    <t xml:space="preserve">  RESERVAS </t>
  </si>
  <si>
    <t xml:space="preserve">  FUNCIONAMIENTO</t>
  </si>
  <si>
    <t>RESERVA
(OBLIGACION)</t>
  </si>
  <si>
    <t>A-1-0-2-999</t>
  </si>
  <si>
    <t xml:space="preserve">PAGO PASIVOS EXIGIBLES VIGENCIAS EXPIRADAS </t>
  </si>
  <si>
    <t>DISPONIBLE  DESPUES DE  APLAZAMIENTO (SIN  CDP)</t>
  </si>
  <si>
    <t>METAS VP  - AGOSTO</t>
  </si>
  <si>
    <t>%  DE PART.</t>
  </si>
  <si>
    <t xml:space="preserve">FALTA   POR   EJECUTAR  
PARA  CUMPLIR  META </t>
  </si>
  <si>
    <t xml:space="preserve">METAS   DE  EJECUCION  </t>
  </si>
  <si>
    <t>APR.
 INICIAL</t>
  </si>
  <si>
    <t>Enero-Agosto</t>
  </si>
  <si>
    <t xml:space="preserve">EJECUCION  PRESUPUESTAL  SIIF 
Cierre  Agosto 31  de 2016  </t>
  </si>
  <si>
    <t>TOTAL</t>
  </si>
  <si>
    <t>TRANSFERENCIA</t>
  </si>
  <si>
    <t>GASTOS COMERCIALIZACION</t>
  </si>
  <si>
    <t>SERVICIO DE LA DEUDA</t>
  </si>
  <si>
    <t xml:space="preserve">INVERSION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</si>
</sst>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[$-1240A]&quot;$&quot;\ #,##0.00;\(&quot;$&quot;\ #,##0.00\)"/>
    <numFmt numFmtId="166" formatCode="_-* #,##0\ _€_-;\-* #,##0\ _€_-;_-* &quot;-&quot;??\ _€_-;_-@_-"/>
    <numFmt numFmtId="167" formatCode="0.0%"/>
    <numFmt numFmtId="168" formatCode="_(* #,##0_);_(* \(#,##0\);_(* &quot;-&quot;??_);_(@_)"/>
    <numFmt numFmtId="169" formatCode="#,##0;[Red]#,##0"/>
    <numFmt numFmtId="170" formatCode="#,##0.00000"/>
    <numFmt numFmtId="171" formatCode="&quot;$&quot;#,##0.00"/>
    <numFmt numFmtId="172" formatCode="#,##0.000000000;[Red]#,##0.000000000"/>
    <numFmt numFmtId="173" formatCode="#,##0.0000"/>
    <numFmt numFmtId="174" formatCode="#,##0.00;[Red]#,##0.00"/>
    <numFmt numFmtId="175" formatCode="[$-1240A]&quot;$&quot;\ #,##0;\(&quot;$&quot;\ #,##0\)"/>
  </numFmts>
  <fonts count="6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3"/>
      <name val="Calibri"/>
      <family val="2"/>
      <scheme val="minor"/>
    </font>
    <font>
      <b/>
      <sz val="24"/>
      <color rgb="FF031F43"/>
      <name val="Candara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theme="0"/>
      <name val="Arial"/>
      <family val="2"/>
    </font>
    <font>
      <b/>
      <sz val="11"/>
      <color rgb="FF9C6500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FFFFFF"/>
      <name val="Calibri"/>
      <family val="2"/>
    </font>
    <font>
      <b/>
      <sz val="9"/>
      <color rgb="FF00000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B0F0"/>
      <name val="Calibri"/>
      <family val="2"/>
      <scheme val="minor"/>
    </font>
    <font>
      <b/>
      <sz val="12"/>
      <color rgb="FF00B0F0"/>
      <name val="Arial"/>
      <family val="2"/>
    </font>
    <font>
      <sz val="10"/>
      <color rgb="FF00B0F0"/>
      <name val="Arial"/>
      <family val="2"/>
    </font>
    <font>
      <sz val="10"/>
      <color rgb="FFF8F8F8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8"/>
      <color rgb="FF000000"/>
      <name val="Times New Roman"/>
      <family val="1"/>
    </font>
    <font>
      <sz val="8"/>
      <color rgb="FF006100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sz val="13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1F497D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rgb="FF7F7F7F"/>
      </top>
      <bottom style="thin">
        <color theme="0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theme="0"/>
      </right>
      <top style="thin">
        <color rgb="FF7F7F7F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/>
      <diagonal/>
    </border>
    <border>
      <left style="thin">
        <color theme="0"/>
      </left>
      <right style="thin">
        <color theme="0"/>
      </right>
      <top style="thin">
        <color rgb="FF7F7F7F"/>
      </top>
      <bottom/>
      <diagonal/>
    </border>
  </borders>
  <cellStyleXfs count="24">
    <xf numFmtId="0" fontId="0" fillId="0" borderId="0"/>
    <xf numFmtId="0" fontId="17" fillId="3" borderId="0" applyNumberFormat="0" applyBorder="0" applyAlignment="0" applyProtection="0"/>
    <xf numFmtId="0" fontId="18" fillId="4" borderId="5" applyNumberFormat="0" applyAlignment="0" applyProtection="0"/>
    <xf numFmtId="0" fontId="19" fillId="5" borderId="0" applyNumberFormat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0" fillId="6" borderId="0" applyNumberFormat="0" applyBorder="0" applyAlignment="0" applyProtection="0"/>
    <xf numFmtId="0" fontId="4" fillId="0" borderId="0"/>
    <xf numFmtId="0" fontId="3" fillId="0" borderId="0"/>
    <xf numFmtId="0" fontId="16" fillId="0" borderId="0"/>
    <xf numFmtId="0" fontId="12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1" fillId="18" borderId="0" applyNumberFormat="0" applyBorder="0" applyAlignment="0" applyProtection="0"/>
    <xf numFmtId="0" fontId="1" fillId="19" borderId="0" applyNumberFormat="0" applyBorder="0" applyAlignment="0" applyProtection="0"/>
  </cellStyleXfs>
  <cellXfs count="244">
    <xf numFmtId="0" fontId="2" fillId="0" borderId="0" xfId="0" applyFont="1" applyFill="1" applyBorder="1"/>
    <xf numFmtId="0" fontId="3" fillId="0" borderId="0" xfId="10"/>
    <xf numFmtId="166" fontId="22" fillId="0" borderId="6" xfId="10" applyNumberFormat="1" applyFont="1" applyBorder="1" applyAlignment="1" applyProtection="1">
      <alignment horizontal="right" vertical="center"/>
    </xf>
    <xf numFmtId="1" fontId="22" fillId="0" borderId="6" xfId="10" applyNumberFormat="1" applyFont="1" applyBorder="1" applyAlignment="1" applyProtection="1">
      <alignment horizontal="center" vertical="center"/>
    </xf>
    <xf numFmtId="14" fontId="22" fillId="0" borderId="7" xfId="10" applyNumberFormat="1" applyFont="1" applyBorder="1" applyAlignment="1" applyProtection="1">
      <alignment horizontal="left" vertical="center" wrapText="1"/>
    </xf>
    <xf numFmtId="0" fontId="23" fillId="0" borderId="0" xfId="10" applyFont="1"/>
    <xf numFmtId="3" fontId="24" fillId="7" borderId="1" xfId="18" applyNumberFormat="1" applyFont="1" applyFill="1" applyBorder="1" applyAlignment="1">
      <alignment horizontal="center" vertical="center" wrapText="1"/>
    </xf>
    <xf numFmtId="14" fontId="25" fillId="0" borderId="7" xfId="10" applyNumberFormat="1" applyFont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 readingOrder="1"/>
    </xf>
    <xf numFmtId="166" fontId="27" fillId="7" borderId="8" xfId="10" applyNumberFormat="1" applyFont="1" applyFill="1" applyBorder="1" applyAlignment="1" applyProtection="1">
      <alignment vertical="center"/>
    </xf>
    <xf numFmtId="166" fontId="28" fillId="7" borderId="8" xfId="10" applyNumberFormat="1" applyFont="1" applyFill="1" applyBorder="1" applyAlignment="1" applyProtection="1">
      <alignment vertical="center"/>
    </xf>
    <xf numFmtId="166" fontId="28" fillId="7" borderId="8" xfId="10" applyNumberFormat="1" applyFont="1" applyFill="1" applyBorder="1" applyAlignment="1" applyProtection="1">
      <alignment horizontal="center" vertical="center"/>
    </xf>
    <xf numFmtId="166" fontId="29" fillId="0" borderId="9" xfId="10" applyNumberFormat="1" applyFont="1" applyBorder="1" applyAlignment="1" applyProtection="1">
      <alignment vertical="center"/>
    </xf>
    <xf numFmtId="166" fontId="29" fillId="0" borderId="6" xfId="10" applyNumberFormat="1" applyFont="1" applyBorder="1" applyAlignment="1" applyProtection="1">
      <alignment vertical="center"/>
    </xf>
    <xf numFmtId="0" fontId="22" fillId="0" borderId="7" xfId="10" applyFont="1" applyBorder="1" applyAlignment="1" applyProtection="1">
      <alignment horizontal="left" vertical="center" wrapText="1"/>
    </xf>
    <xf numFmtId="166" fontId="25" fillId="0" borderId="6" xfId="10" applyNumberFormat="1" applyFont="1" applyBorder="1" applyAlignment="1" applyProtection="1">
      <alignment vertical="center"/>
    </xf>
    <xf numFmtId="166" fontId="25" fillId="0" borderId="6" xfId="10" applyNumberFormat="1" applyFont="1" applyBorder="1" applyAlignment="1" applyProtection="1">
      <alignment horizontal="right" vertical="center"/>
    </xf>
    <xf numFmtId="1" fontId="25" fillId="0" borderId="6" xfId="10" applyNumberFormat="1" applyFont="1" applyBorder="1" applyAlignment="1" applyProtection="1">
      <alignment horizontal="center" vertical="center"/>
    </xf>
    <xf numFmtId="0" fontId="7" fillId="0" borderId="0" xfId="10" applyFont="1"/>
    <xf numFmtId="3" fontId="3" fillId="0" borderId="0" xfId="10" applyNumberFormat="1"/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/>
    <xf numFmtId="0" fontId="9" fillId="8" borderId="0" xfId="0" applyNumberFormat="1" applyFont="1" applyFill="1" applyBorder="1" applyAlignment="1">
      <alignment horizontal="center" vertical="center" wrapText="1" readingOrder="1"/>
    </xf>
    <xf numFmtId="0" fontId="9" fillId="9" borderId="10" xfId="0" applyNumberFormat="1" applyFont="1" applyFill="1" applyBorder="1" applyAlignment="1">
      <alignment horizontal="center" vertical="center" wrapText="1" readingOrder="1"/>
    </xf>
    <xf numFmtId="0" fontId="30" fillId="0" borderId="10" xfId="0" applyNumberFormat="1" applyFont="1" applyFill="1" applyBorder="1" applyAlignment="1">
      <alignment horizontal="center" vertical="center" wrapText="1" readingOrder="1"/>
    </xf>
    <xf numFmtId="0" fontId="8" fillId="8" borderId="0" xfId="0" applyFont="1" applyFill="1" applyBorder="1" applyAlignment="1">
      <alignment horizontal="left"/>
    </xf>
    <xf numFmtId="0" fontId="9" fillId="9" borderId="10" xfId="0" applyFont="1" applyFill="1" applyBorder="1" applyAlignment="1">
      <alignment horizontal="center" vertical="center" wrapText="1" readingOrder="1"/>
    </xf>
    <xf numFmtId="1" fontId="29" fillId="0" borderId="6" xfId="10" applyNumberFormat="1" applyFont="1" applyBorder="1" applyAlignment="1" applyProtection="1">
      <alignment horizontal="center" vertical="center"/>
    </xf>
    <xf numFmtId="14" fontId="29" fillId="0" borderId="7" xfId="10" applyNumberFormat="1" applyFont="1" applyBorder="1" applyAlignment="1" applyProtection="1">
      <alignment horizontal="left" vertical="center" wrapText="1"/>
    </xf>
    <xf numFmtId="10" fontId="31" fillId="10" borderId="1" xfId="18" applyNumberFormat="1" applyFont="1" applyFill="1" applyBorder="1" applyAlignment="1">
      <alignment horizontal="center" vertical="center" wrapText="1"/>
    </xf>
    <xf numFmtId="168" fontId="11" fillId="0" borderId="10" xfId="4" applyNumberFormat="1" applyFont="1" applyFill="1" applyBorder="1" applyAlignment="1">
      <alignment horizontal="left" vertical="center" wrapText="1" readingOrder="1"/>
    </xf>
    <xf numFmtId="168" fontId="30" fillId="0" borderId="10" xfId="4" applyNumberFormat="1" applyFont="1" applyFill="1" applyBorder="1" applyAlignment="1">
      <alignment horizontal="right" vertical="center" wrapText="1" readingOrder="1"/>
    </xf>
    <xf numFmtId="168" fontId="30" fillId="0" borderId="10" xfId="4" applyNumberFormat="1" applyFont="1" applyFill="1" applyBorder="1" applyAlignment="1">
      <alignment horizontal="right" vertical="center" wrapText="1" readingOrder="1"/>
    </xf>
    <xf numFmtId="168" fontId="11" fillId="0" borderId="10" xfId="4" applyNumberFormat="1" applyFont="1" applyFill="1" applyBorder="1" applyAlignment="1">
      <alignment horizontal="right" vertical="center" wrapText="1" readingOrder="1"/>
    </xf>
    <xf numFmtId="168" fontId="8" fillId="8" borderId="0" xfId="4" applyNumberFormat="1" applyFont="1" applyFill="1" applyBorder="1" applyAlignment="1">
      <alignment horizontal="left"/>
    </xf>
    <xf numFmtId="168" fontId="9" fillId="8" borderId="0" xfId="4" applyNumberFormat="1" applyFont="1" applyFill="1" applyBorder="1" applyAlignment="1">
      <alignment horizontal="center" vertical="center" wrapText="1" readingOrder="1"/>
    </xf>
    <xf numFmtId="168" fontId="9" fillId="9" borderId="10" xfId="4" applyNumberFormat="1" applyFont="1" applyFill="1" applyBorder="1" applyAlignment="1">
      <alignment horizontal="center" vertical="center" wrapText="1" readingOrder="1"/>
    </xf>
    <xf numFmtId="168" fontId="17" fillId="3" borderId="10" xfId="4" applyNumberFormat="1" applyFont="1" applyFill="1" applyBorder="1" applyAlignment="1">
      <alignment horizontal="right" vertical="center" wrapText="1" readingOrder="1"/>
    </xf>
    <xf numFmtId="168" fontId="21" fillId="2" borderId="0" xfId="4" applyNumberFormat="1" applyFont="1" applyFill="1" applyBorder="1" applyAlignment="1">
      <alignment horizontal="right" vertical="center" wrapText="1" readingOrder="1"/>
    </xf>
    <xf numFmtId="168" fontId="32" fillId="6" borderId="0" xfId="4" applyNumberFormat="1" applyFont="1" applyFill="1" applyBorder="1"/>
    <xf numFmtId="168" fontId="10" fillId="0" borderId="0" xfId="4" applyNumberFormat="1" applyFont="1" applyFill="1" applyBorder="1"/>
    <xf numFmtId="167" fontId="9" fillId="0" borderId="0" xfId="15" applyNumberFormat="1" applyFont="1" applyFill="1" applyBorder="1" applyAlignment="1">
      <alignment horizontal="center" vertical="center" wrapText="1" readingOrder="1"/>
    </xf>
    <xf numFmtId="167" fontId="8" fillId="8" borderId="0" xfId="15" applyNumberFormat="1" applyFont="1" applyFill="1" applyBorder="1" applyAlignment="1">
      <alignment horizontal="left"/>
    </xf>
    <xf numFmtId="167" fontId="9" fillId="9" borderId="10" xfId="15" applyNumberFormat="1" applyFont="1" applyFill="1" applyBorder="1" applyAlignment="1">
      <alignment horizontal="center" vertical="center" wrapText="1" readingOrder="1"/>
    </xf>
    <xf numFmtId="167" fontId="30" fillId="0" borderId="10" xfId="15" applyNumberFormat="1" applyFont="1" applyFill="1" applyBorder="1" applyAlignment="1">
      <alignment horizontal="center" vertical="center" wrapText="1" readingOrder="1"/>
    </xf>
    <xf numFmtId="167" fontId="11" fillId="0" borderId="10" xfId="15" applyNumberFormat="1" applyFont="1" applyFill="1" applyBorder="1" applyAlignment="1">
      <alignment horizontal="right" vertical="center" wrapText="1" readingOrder="1"/>
    </xf>
    <xf numFmtId="167" fontId="30" fillId="0" borderId="10" xfId="15" applyNumberFormat="1" applyFont="1" applyFill="1" applyBorder="1" applyAlignment="1">
      <alignment horizontal="right" vertical="center" wrapText="1" readingOrder="1"/>
    </xf>
    <xf numFmtId="167" fontId="17" fillId="3" borderId="10" xfId="15" applyNumberFormat="1" applyFont="1" applyFill="1" applyBorder="1" applyAlignment="1">
      <alignment horizontal="right" vertical="center" wrapText="1" readingOrder="1"/>
    </xf>
    <xf numFmtId="167" fontId="10" fillId="0" borderId="0" xfId="15" applyNumberFormat="1" applyFont="1" applyFill="1" applyBorder="1"/>
    <xf numFmtId="167" fontId="9" fillId="8" borderId="0" xfId="15" applyNumberFormat="1" applyFont="1" applyFill="1" applyBorder="1" applyAlignment="1">
      <alignment horizontal="center" vertical="center" wrapText="1" readingOrder="1"/>
    </xf>
    <xf numFmtId="10" fontId="17" fillId="3" borderId="10" xfId="4" applyNumberFormat="1" applyFont="1" applyFill="1" applyBorder="1" applyAlignment="1">
      <alignment horizontal="right" vertical="center" wrapText="1" readingOrder="1"/>
    </xf>
    <xf numFmtId="10" fontId="17" fillId="3" borderId="10" xfId="15" applyNumberFormat="1" applyFont="1" applyFill="1" applyBorder="1" applyAlignment="1">
      <alignment horizontal="right" vertical="center" wrapText="1" readingOrder="1"/>
    </xf>
    <xf numFmtId="10" fontId="17" fillId="3" borderId="0" xfId="4" applyNumberFormat="1" applyFont="1" applyFill="1" applyBorder="1" applyAlignment="1">
      <alignment horizontal="right" vertical="center" wrapText="1" readingOrder="1"/>
    </xf>
    <xf numFmtId="10" fontId="16" fillId="2" borderId="10" xfId="4" applyNumberFormat="1" applyFont="1" applyFill="1" applyBorder="1" applyAlignment="1">
      <alignment horizontal="right" vertical="center" wrapText="1" readingOrder="1"/>
    </xf>
    <xf numFmtId="10" fontId="16" fillId="2" borderId="10" xfId="15" applyNumberFormat="1" applyFont="1" applyFill="1" applyBorder="1" applyAlignment="1">
      <alignment horizontal="right" vertical="center" wrapText="1" readingOrder="1"/>
    </xf>
    <xf numFmtId="10" fontId="20" fillId="6" borderId="0" xfId="4" applyNumberFormat="1" applyFont="1" applyFill="1" applyBorder="1"/>
    <xf numFmtId="10" fontId="20" fillId="6" borderId="0" xfId="15" applyNumberFormat="1" applyFont="1" applyFill="1" applyBorder="1"/>
    <xf numFmtId="3" fontId="33" fillId="0" borderId="0" xfId="0" applyNumberFormat="1" applyFont="1" applyFill="1" applyBorder="1" applyAlignment="1">
      <alignment horizontal="center" vertical="center" wrapText="1" readingOrder="1"/>
    </xf>
    <xf numFmtId="168" fontId="10" fillId="0" borderId="0" xfId="0" applyNumberFormat="1" applyFont="1" applyFill="1" applyBorder="1"/>
    <xf numFmtId="9" fontId="3" fillId="0" borderId="0" xfId="10" applyNumberFormat="1"/>
    <xf numFmtId="0" fontId="13" fillId="0" borderId="0" xfId="0" applyFont="1" applyFill="1" applyBorder="1"/>
    <xf numFmtId="0" fontId="30" fillId="0" borderId="10" xfId="0" applyNumberFormat="1" applyFont="1" applyFill="1" applyBorder="1" applyAlignment="1">
      <alignment horizontal="center" vertical="center" wrapText="1" readingOrder="1"/>
    </xf>
    <xf numFmtId="168" fontId="11" fillId="0" borderId="12" xfId="4" applyNumberFormat="1" applyFont="1" applyFill="1" applyBorder="1" applyAlignment="1">
      <alignment horizontal="right" vertical="center" wrapText="1" readingOrder="1"/>
    </xf>
    <xf numFmtId="168" fontId="11" fillId="0" borderId="13" xfId="4" applyNumberFormat="1" applyFont="1" applyFill="1" applyBorder="1" applyAlignment="1">
      <alignment horizontal="right" vertical="center" wrapText="1" readingOrder="1"/>
    </xf>
    <xf numFmtId="168" fontId="30" fillId="0" borderId="14" xfId="4" applyNumberFormat="1" applyFont="1" applyFill="1" applyBorder="1" applyAlignment="1">
      <alignment horizontal="right" vertical="center" wrapText="1" readingOrder="1"/>
    </xf>
    <xf numFmtId="168" fontId="9" fillId="8" borderId="1" xfId="4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Fill="1" applyBorder="1"/>
    <xf numFmtId="170" fontId="10" fillId="0" borderId="0" xfId="0" applyNumberFormat="1" applyFont="1" applyFill="1" applyBorder="1"/>
    <xf numFmtId="0" fontId="18" fillId="4" borderId="5" xfId="2" applyAlignment="1">
      <alignment horizontal="center" vertical="center" wrapText="1" readingOrder="1"/>
    </xf>
    <xf numFmtId="168" fontId="30" fillId="0" borderId="10" xfId="4" applyNumberFormat="1" applyFont="1" applyFill="1" applyBorder="1" applyAlignment="1">
      <alignment vertical="center" wrapText="1" readingOrder="1"/>
    </xf>
    <xf numFmtId="0" fontId="35" fillId="0" borderId="0" xfId="0" applyNumberFormat="1" applyFont="1" applyFill="1" applyBorder="1" applyAlignment="1">
      <alignment horizontal="center" vertical="center" wrapText="1" readingOrder="1"/>
    </xf>
    <xf numFmtId="0" fontId="30" fillId="0" borderId="10" xfId="0" applyNumberFormat="1" applyFont="1" applyFill="1" applyBorder="1" applyAlignment="1">
      <alignment horizontal="left" vertical="center" wrapText="1" readingOrder="1"/>
    </xf>
    <xf numFmtId="166" fontId="28" fillId="7" borderId="2" xfId="10" applyNumberFormat="1" applyFont="1" applyFill="1" applyBorder="1" applyAlignment="1" applyProtection="1">
      <alignment horizontal="center" vertical="center"/>
    </xf>
    <xf numFmtId="14" fontId="29" fillId="0" borderId="7" xfId="10" applyNumberFormat="1" applyFont="1" applyBorder="1" applyAlignment="1" applyProtection="1">
      <alignment horizontal="left" vertical="center"/>
    </xf>
    <xf numFmtId="14" fontId="29" fillId="0" borderId="9" xfId="10" applyNumberFormat="1" applyFont="1" applyBorder="1" applyAlignment="1" applyProtection="1">
      <alignment horizontal="left" vertical="center" wrapText="1"/>
    </xf>
    <xf numFmtId="1" fontId="29" fillId="0" borderId="6" xfId="10" applyNumberFormat="1" applyFont="1" applyBorder="1" applyAlignment="1" applyProtection="1">
      <alignment horizontal="left" vertical="center"/>
    </xf>
    <xf numFmtId="14" fontId="22" fillId="0" borderId="6" xfId="10" applyNumberFormat="1" applyFont="1" applyBorder="1" applyAlignment="1" applyProtection="1">
      <alignment horizontal="left" vertical="center" wrapText="1"/>
    </xf>
    <xf numFmtId="0" fontId="22" fillId="0" borderId="6" xfId="10" applyFont="1" applyBorder="1" applyAlignment="1" applyProtection="1">
      <alignment horizontal="left" vertical="center" wrapText="1"/>
    </xf>
    <xf numFmtId="14" fontId="25" fillId="0" borderId="6" xfId="10" applyNumberFormat="1" applyFont="1" applyBorder="1" applyAlignment="1" applyProtection="1">
      <alignment horizontal="left" vertical="center"/>
    </xf>
    <xf numFmtId="14" fontId="22" fillId="0" borderId="0" xfId="10" applyNumberFormat="1" applyFont="1" applyBorder="1" applyAlignment="1" applyProtection="1">
      <alignment horizontal="left" vertical="center" wrapText="1"/>
    </xf>
    <xf numFmtId="169" fontId="36" fillId="4" borderId="15" xfId="2" applyNumberFormat="1" applyFont="1" applyBorder="1" applyAlignment="1">
      <alignment horizontal="center" vertical="center" wrapText="1" readingOrder="1"/>
    </xf>
    <xf numFmtId="0" fontId="3" fillId="0" borderId="0" xfId="10" applyFont="1"/>
    <xf numFmtId="169" fontId="3" fillId="0" borderId="0" xfId="10" applyNumberFormat="1"/>
    <xf numFmtId="3" fontId="36" fillId="4" borderId="15" xfId="2" applyNumberFormat="1" applyFont="1" applyBorder="1" applyAlignment="1">
      <alignment horizontal="center" vertical="center" wrapText="1" readingOrder="1"/>
    </xf>
    <xf numFmtId="166" fontId="37" fillId="13" borderId="1" xfId="10" applyNumberFormat="1" applyFont="1" applyFill="1" applyBorder="1" applyAlignment="1" applyProtection="1">
      <alignment horizontal="center" vertical="center"/>
    </xf>
    <xf numFmtId="14" fontId="29" fillId="0" borderId="6" xfId="10" applyNumberFormat="1" applyFont="1" applyBorder="1" applyAlignment="1" applyProtection="1">
      <alignment horizontal="left" vertical="center" wrapText="1"/>
    </xf>
    <xf numFmtId="10" fontId="3" fillId="0" borderId="0" xfId="15" applyNumberFormat="1" applyFont="1"/>
    <xf numFmtId="0" fontId="34" fillId="11" borderId="15" xfId="0" applyFont="1" applyFill="1" applyBorder="1" applyAlignment="1">
      <alignment horizontal="center" vertical="center" wrapText="1" readingOrder="1"/>
    </xf>
    <xf numFmtId="0" fontId="39" fillId="8" borderId="3" xfId="0" applyFont="1" applyFill="1" applyBorder="1" applyAlignment="1">
      <alignment vertical="center" readingOrder="1"/>
    </xf>
    <xf numFmtId="9" fontId="36" fillId="4" borderId="15" xfId="2" applyNumberFormat="1" applyFont="1" applyBorder="1" applyAlignment="1">
      <alignment horizontal="center" vertical="center" wrapText="1" readingOrder="1"/>
    </xf>
    <xf numFmtId="169" fontId="36" fillId="4" borderId="16" xfId="2" applyNumberFormat="1" applyFont="1" applyBorder="1" applyAlignment="1">
      <alignment horizontal="center" vertical="center" wrapText="1" readingOrder="1"/>
    </xf>
    <xf numFmtId="9" fontId="40" fillId="14" borderId="17" xfId="15" applyFont="1" applyFill="1" applyBorder="1" applyAlignment="1">
      <alignment horizontal="left" vertical="center" wrapText="1" readingOrder="1"/>
    </xf>
    <xf numFmtId="3" fontId="40" fillId="14" borderId="17" xfId="15" applyNumberFormat="1" applyFont="1" applyFill="1" applyBorder="1" applyAlignment="1">
      <alignment horizontal="center" vertical="center" wrapText="1" readingOrder="1"/>
    </xf>
    <xf numFmtId="9" fontId="40" fillId="14" borderId="17" xfId="15" applyFont="1" applyFill="1" applyBorder="1" applyAlignment="1">
      <alignment horizontal="center" vertical="center" wrapText="1" readingOrder="1"/>
    </xf>
    <xf numFmtId="3" fontId="40" fillId="14" borderId="18" xfId="15" applyNumberFormat="1" applyFont="1" applyFill="1" applyBorder="1" applyAlignment="1">
      <alignment horizontal="center" vertical="center" wrapText="1" readingOrder="1"/>
    </xf>
    <xf numFmtId="0" fontId="39" fillId="8" borderId="3" xfId="0" applyFont="1" applyFill="1" applyBorder="1" applyAlignment="1">
      <alignment vertical="center" wrapText="1" readingOrder="1"/>
    </xf>
    <xf numFmtId="3" fontId="40" fillId="14" borderId="11" xfId="15" applyNumberFormat="1" applyFont="1" applyFill="1" applyBorder="1" applyAlignment="1">
      <alignment horizontal="center" vertical="center" wrapText="1" readingOrder="1"/>
    </xf>
    <xf numFmtId="3" fontId="40" fillId="14" borderId="19" xfId="15" applyNumberFormat="1" applyFont="1" applyFill="1" applyBorder="1" applyAlignment="1">
      <alignment horizontal="center" vertical="center" wrapText="1" readingOrder="1"/>
    </xf>
    <xf numFmtId="9" fontId="41" fillId="14" borderId="20" xfId="15" applyFont="1" applyFill="1" applyBorder="1" applyAlignment="1">
      <alignment horizontal="left" vertical="center" wrapText="1" readingOrder="1"/>
    </xf>
    <xf numFmtId="0" fontId="34" fillId="11" borderId="3" xfId="0" applyFont="1" applyFill="1" applyBorder="1" applyAlignment="1">
      <alignment horizontal="center" vertical="center" wrapText="1" readingOrder="1"/>
    </xf>
    <xf numFmtId="10" fontId="34" fillId="11" borderId="21" xfId="15" applyNumberFormat="1" applyFont="1" applyFill="1" applyBorder="1" applyAlignment="1">
      <alignment horizontal="center" vertical="center" wrapText="1" readingOrder="1"/>
    </xf>
    <xf numFmtId="169" fontId="34" fillId="11" borderId="11" xfId="0" applyNumberFormat="1" applyFont="1" applyFill="1" applyBorder="1" applyAlignment="1">
      <alignment horizontal="center" vertical="center" wrapText="1" readingOrder="1"/>
    </xf>
    <xf numFmtId="10" fontId="34" fillId="11" borderId="22" xfId="15" applyNumberFormat="1" applyFont="1" applyFill="1" applyBorder="1" applyAlignment="1">
      <alignment horizontal="center" vertical="center" wrapText="1" readingOrder="1"/>
    </xf>
    <xf numFmtId="0" fontId="41" fillId="14" borderId="17" xfId="15" applyNumberFormat="1" applyFont="1" applyFill="1" applyBorder="1" applyAlignment="1">
      <alignment horizontal="left" vertical="center" wrapText="1" readingOrder="1"/>
    </xf>
    <xf numFmtId="0" fontId="34" fillId="11" borderId="4" xfId="0" applyFont="1" applyFill="1" applyBorder="1" applyAlignment="1">
      <alignment horizontal="center" vertical="center" wrapText="1" readingOrder="1"/>
    </xf>
    <xf numFmtId="10" fontId="42" fillId="12" borderId="23" xfId="15" applyNumberFormat="1" applyFont="1" applyFill="1" applyBorder="1" applyAlignment="1">
      <alignment horizontal="center" vertical="center" wrapText="1" readingOrder="1"/>
    </xf>
    <xf numFmtId="169" fontId="34" fillId="11" borderId="21" xfId="0" applyNumberFormat="1" applyFont="1" applyFill="1" applyBorder="1" applyAlignment="1">
      <alignment horizontal="center" vertical="center" wrapText="1" readingOrder="1"/>
    </xf>
    <xf numFmtId="169" fontId="34" fillId="11" borderId="22" xfId="0" applyNumberFormat="1" applyFont="1" applyFill="1" applyBorder="1" applyAlignment="1">
      <alignment horizontal="center" vertical="center" wrapText="1" readingOrder="1"/>
    </xf>
    <xf numFmtId="0" fontId="34" fillId="11" borderId="16" xfId="0" applyFont="1" applyFill="1" applyBorder="1" applyAlignment="1">
      <alignment horizontal="center" vertical="center" wrapText="1" readingOrder="1"/>
    </xf>
    <xf numFmtId="0" fontId="43" fillId="15" borderId="0" xfId="0" applyFont="1" applyFill="1" applyBorder="1"/>
    <xf numFmtId="0" fontId="44" fillId="15" borderId="0" xfId="10" applyFont="1" applyFill="1"/>
    <xf numFmtId="0" fontId="45" fillId="15" borderId="0" xfId="10" applyFont="1" applyFill="1"/>
    <xf numFmtId="168" fontId="30" fillId="0" borderId="0" xfId="4" applyNumberFormat="1" applyFont="1" applyFill="1" applyBorder="1" applyAlignment="1">
      <alignment vertical="center" wrapText="1" readingOrder="1"/>
    </xf>
    <xf numFmtId="9" fontId="36" fillId="4" borderId="16" xfId="15" applyFont="1" applyFill="1" applyBorder="1" applyAlignment="1">
      <alignment horizontal="center" vertical="center" wrapText="1" readingOrder="1"/>
    </xf>
    <xf numFmtId="9" fontId="40" fillId="14" borderId="18" xfId="15" applyFont="1" applyFill="1" applyBorder="1" applyAlignment="1">
      <alignment horizontal="center" vertical="center" wrapText="1" readingOrder="1"/>
    </xf>
    <xf numFmtId="10" fontId="34" fillId="11" borderId="24" xfId="15" applyNumberFormat="1" applyFont="1" applyFill="1" applyBorder="1" applyAlignment="1">
      <alignment horizontal="center" vertical="center" wrapText="1" readingOrder="1"/>
    </xf>
    <xf numFmtId="3" fontId="40" fillId="14" borderId="17" xfId="15" quotePrefix="1" applyNumberFormat="1" applyFont="1" applyFill="1" applyBorder="1" applyAlignment="1">
      <alignment horizontal="center" vertical="center" wrapText="1" readingOrder="1"/>
    </xf>
    <xf numFmtId="0" fontId="34" fillId="11" borderId="16" xfId="0" applyFont="1" applyFill="1" applyBorder="1" applyAlignment="1">
      <alignment horizontal="center" vertical="center" wrapText="1" readingOrder="1"/>
    </xf>
    <xf numFmtId="0" fontId="35" fillId="0" borderId="10" xfId="0" applyNumberFormat="1" applyFont="1" applyFill="1" applyBorder="1" applyAlignment="1">
      <alignment horizontal="center" vertical="center" wrapText="1" readingOrder="1"/>
    </xf>
    <xf numFmtId="0" fontId="35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172" fontId="14" fillId="0" borderId="0" xfId="0" applyNumberFormat="1" applyFont="1" applyFill="1" applyBorder="1"/>
    <xf numFmtId="0" fontId="46" fillId="0" borderId="0" xfId="10" applyFont="1"/>
    <xf numFmtId="9" fontId="36" fillId="4" borderId="15" xfId="15" applyFont="1" applyFill="1" applyBorder="1" applyAlignment="1">
      <alignment horizontal="center" vertical="center" wrapText="1" readingOrder="1"/>
    </xf>
    <xf numFmtId="9" fontId="34" fillId="11" borderId="21" xfId="15" applyFont="1" applyFill="1" applyBorder="1" applyAlignment="1">
      <alignment horizontal="center" vertical="center" wrapText="1" readingOrder="1"/>
    </xf>
    <xf numFmtId="169" fontId="36" fillId="4" borderId="25" xfId="2" applyNumberFormat="1" applyFont="1" applyBorder="1" applyAlignment="1">
      <alignment horizontal="center" vertical="center" wrapText="1" readingOrder="1"/>
    </xf>
    <xf numFmtId="169" fontId="34" fillId="11" borderId="26" xfId="0" applyNumberFormat="1" applyFont="1" applyFill="1" applyBorder="1" applyAlignment="1">
      <alignment horizontal="center" vertical="center" wrapText="1" readingOrder="1"/>
    </xf>
    <xf numFmtId="10" fontId="3" fillId="0" borderId="0" xfId="10" applyNumberFormat="1"/>
    <xf numFmtId="0" fontId="34" fillId="11" borderId="0" xfId="0" applyFont="1" applyFill="1" applyBorder="1" applyAlignment="1">
      <alignment horizontal="center" vertical="center" wrapText="1" readingOrder="1"/>
    </xf>
    <xf numFmtId="9" fontId="3" fillId="0" borderId="0" xfId="15" applyFont="1"/>
    <xf numFmtId="165" fontId="14" fillId="0" borderId="0" xfId="0" applyNumberFormat="1" applyFont="1" applyFill="1" applyBorder="1"/>
    <xf numFmtId="171" fontId="14" fillId="0" borderId="0" xfId="0" applyNumberFormat="1" applyFont="1" applyFill="1" applyBorder="1"/>
    <xf numFmtId="10" fontId="24" fillId="10" borderId="0" xfId="18" applyNumberFormat="1" applyFont="1" applyFill="1" applyBorder="1" applyAlignment="1">
      <alignment horizontal="center" vertical="center" wrapText="1"/>
    </xf>
    <xf numFmtId="10" fontId="42" fillId="17" borderId="11" xfId="15" applyNumberFormat="1" applyFont="1" applyFill="1" applyBorder="1" applyAlignment="1">
      <alignment horizontal="center" vertical="center" wrapText="1" readingOrder="1"/>
    </xf>
    <xf numFmtId="10" fontId="38" fillId="17" borderId="15" xfId="18" applyNumberFormat="1" applyFont="1" applyFill="1" applyBorder="1" applyAlignment="1">
      <alignment horizontal="center" vertical="center" wrapText="1"/>
    </xf>
    <xf numFmtId="3" fontId="36" fillId="4" borderId="16" xfId="2" applyNumberFormat="1" applyFont="1" applyBorder="1" applyAlignment="1">
      <alignment horizontal="center" vertical="center" wrapText="1" readingOrder="1"/>
    </xf>
    <xf numFmtId="10" fontId="38" fillId="17" borderId="43" xfId="18" applyNumberFormat="1" applyFont="1" applyFill="1" applyBorder="1" applyAlignment="1">
      <alignment horizontal="center" vertical="center" wrapText="1"/>
    </xf>
    <xf numFmtId="1" fontId="40" fillId="14" borderId="18" xfId="15" applyNumberFormat="1" applyFont="1" applyFill="1" applyBorder="1" applyAlignment="1">
      <alignment horizontal="center" vertical="center" wrapText="1" readingOrder="1"/>
    </xf>
    <xf numFmtId="10" fontId="53" fillId="12" borderId="15" xfId="18" applyNumberFormat="1" applyFont="1" applyFill="1" applyBorder="1" applyAlignment="1">
      <alignment horizontal="center" vertical="center" wrapText="1"/>
    </xf>
    <xf numFmtId="10" fontId="36" fillId="4" borderId="15" xfId="15" applyNumberFormat="1" applyFont="1" applyFill="1" applyBorder="1" applyAlignment="1">
      <alignment horizontal="center" vertical="center" wrapText="1" readingOrder="1"/>
    </xf>
    <xf numFmtId="169" fontId="55" fillId="16" borderId="15" xfId="2" applyNumberFormat="1" applyFont="1" applyFill="1" applyBorder="1" applyAlignment="1">
      <alignment horizontal="center" vertical="center" wrapText="1" readingOrder="1"/>
    </xf>
    <xf numFmtId="3" fontId="55" fillId="16" borderId="15" xfId="2" applyNumberFormat="1" applyFont="1" applyFill="1" applyBorder="1" applyAlignment="1">
      <alignment horizontal="center" vertical="center" wrapText="1" readingOrder="1"/>
    </xf>
    <xf numFmtId="1" fontId="55" fillId="16" borderId="15" xfId="2" applyNumberFormat="1" applyFont="1" applyFill="1" applyBorder="1" applyAlignment="1">
      <alignment horizontal="center" vertical="center" wrapText="1" readingOrder="1"/>
    </xf>
    <xf numFmtId="3" fontId="55" fillId="16" borderId="39" xfId="2" applyNumberFormat="1" applyFont="1" applyFill="1" applyBorder="1" applyAlignment="1">
      <alignment horizontal="center" vertical="center" wrapText="1" readingOrder="1"/>
    </xf>
    <xf numFmtId="169" fontId="34" fillId="11" borderId="15" xfId="0" applyNumberFormat="1" applyFont="1" applyFill="1" applyBorder="1" applyAlignment="1">
      <alignment horizontal="center" vertical="center" wrapText="1" readingOrder="1"/>
    </xf>
    <xf numFmtId="1" fontId="34" fillId="11" borderId="21" xfId="0" applyNumberFormat="1" applyFont="1" applyFill="1" applyBorder="1" applyAlignment="1">
      <alignment horizontal="center" vertical="center" wrapText="1" readingOrder="1"/>
    </xf>
    <xf numFmtId="0" fontId="40" fillId="14" borderId="18" xfId="15" applyNumberFormat="1" applyFont="1" applyFill="1" applyBorder="1" applyAlignment="1">
      <alignment horizontal="center" vertical="center" wrapText="1" readingOrder="1"/>
    </xf>
    <xf numFmtId="10" fontId="34" fillId="11" borderId="11" xfId="15" applyNumberFormat="1" applyFont="1" applyFill="1" applyBorder="1" applyAlignment="1">
      <alignment horizontal="center" vertical="center" wrapText="1" readingOrder="1"/>
    </xf>
    <xf numFmtId="3" fontId="40" fillId="8" borderId="18" xfId="15" applyNumberFormat="1" applyFont="1" applyFill="1" applyBorder="1" applyAlignment="1">
      <alignment horizontal="center" vertical="center" wrapText="1" readingOrder="1"/>
    </xf>
    <xf numFmtId="1" fontId="40" fillId="8" borderId="18" xfId="15" applyNumberFormat="1" applyFont="1" applyFill="1" applyBorder="1" applyAlignment="1">
      <alignment horizontal="center" vertical="center" wrapText="1" readingOrder="1"/>
    </xf>
    <xf numFmtId="4" fontId="40" fillId="14" borderId="17" xfId="15" applyNumberFormat="1" applyFont="1" applyFill="1" applyBorder="1" applyAlignment="1">
      <alignment horizontal="center" vertical="center" wrapText="1" readingOrder="1"/>
    </xf>
    <xf numFmtId="173" fontId="40" fillId="14" borderId="17" xfId="15" applyNumberFormat="1" applyFont="1" applyFill="1" applyBorder="1" applyAlignment="1">
      <alignment horizontal="center" vertical="center" wrapText="1" readingOrder="1"/>
    </xf>
    <xf numFmtId="4" fontId="40" fillId="14" borderId="18" xfId="15" applyNumberFormat="1" applyFont="1" applyFill="1" applyBorder="1" applyAlignment="1">
      <alignment horizontal="center" vertical="center" wrapText="1" readingOrder="1"/>
    </xf>
    <xf numFmtId="174" fontId="40" fillId="14" borderId="17" xfId="0" applyNumberFormat="1" applyFont="1" applyFill="1" applyBorder="1" applyAlignment="1">
      <alignment horizontal="center" vertical="center" wrapText="1" readingOrder="1"/>
    </xf>
    <xf numFmtId="9" fontId="56" fillId="14" borderId="17" xfId="15" applyFont="1" applyFill="1" applyBorder="1" applyAlignment="1">
      <alignment horizontal="left" vertical="center" wrapText="1" readingOrder="1"/>
    </xf>
    <xf numFmtId="174" fontId="34" fillId="11" borderId="11" xfId="0" applyNumberFormat="1" applyFont="1" applyFill="1" applyBorder="1" applyAlignment="1">
      <alignment horizontal="center" vertical="center" wrapText="1" readingOrder="1"/>
    </xf>
    <xf numFmtId="10" fontId="54" fillId="6" borderId="43" xfId="8" applyNumberFormat="1" applyFont="1" applyBorder="1" applyAlignment="1">
      <alignment horizontal="center" vertical="center" wrapText="1"/>
    </xf>
    <xf numFmtId="10" fontId="53" fillId="12" borderId="25" xfId="18" applyNumberFormat="1" applyFont="1" applyFill="1" applyBorder="1" applyAlignment="1">
      <alignment horizontal="center" vertical="center" wrapText="1"/>
    </xf>
    <xf numFmtId="169" fontId="55" fillId="16" borderId="16" xfId="2" applyNumberFormat="1" applyFont="1" applyFill="1" applyBorder="1" applyAlignment="1">
      <alignment horizontal="center" vertical="center" wrapText="1" readingOrder="1"/>
    </xf>
    <xf numFmtId="10" fontId="38" fillId="12" borderId="1" xfId="18" applyNumberFormat="1" applyFont="1" applyFill="1" applyBorder="1" applyAlignment="1">
      <alignment horizontal="center" vertical="center" wrapText="1"/>
    </xf>
    <xf numFmtId="169" fontId="34" fillId="11" borderId="0" xfId="0" applyNumberFormat="1" applyFont="1" applyFill="1" applyBorder="1" applyAlignment="1">
      <alignment horizontal="center" vertical="center" wrapText="1" readingOrder="1"/>
    </xf>
    <xf numFmtId="169" fontId="34" fillId="11" borderId="43" xfId="0" applyNumberFormat="1" applyFont="1" applyFill="1" applyBorder="1" applyAlignment="1">
      <alignment horizontal="center" vertical="center" wrapText="1" readingOrder="1"/>
    </xf>
    <xf numFmtId="1" fontId="34" fillId="11" borderId="15" xfId="0" applyNumberFormat="1" applyFont="1" applyFill="1" applyBorder="1" applyAlignment="1">
      <alignment horizontal="center" vertical="center" wrapText="1" readingOrder="1"/>
    </xf>
    <xf numFmtId="0" fontId="57" fillId="0" borderId="0" xfId="0" applyFont="1" applyFill="1" applyBorder="1"/>
    <xf numFmtId="9" fontId="34" fillId="11" borderId="22" xfId="15" applyFont="1" applyFill="1" applyBorder="1" applyAlignment="1">
      <alignment horizontal="center" vertical="center" wrapText="1" readingOrder="1"/>
    </xf>
    <xf numFmtId="167" fontId="36" fillId="4" borderId="15" xfId="15" applyNumberFormat="1" applyFont="1" applyFill="1" applyBorder="1" applyAlignment="1">
      <alignment horizontal="center" vertical="center" wrapText="1" readingOrder="1"/>
    </xf>
    <xf numFmtId="169" fontId="14" fillId="0" borderId="0" xfId="0" applyNumberFormat="1" applyFont="1" applyFill="1" applyBorder="1"/>
    <xf numFmtId="175" fontId="14" fillId="0" borderId="0" xfId="0" applyNumberFormat="1" applyFont="1" applyFill="1" applyBorder="1"/>
    <xf numFmtId="3" fontId="20" fillId="6" borderId="0" xfId="8" applyNumberFormat="1" applyAlignment="1">
      <alignment horizontal="center"/>
    </xf>
    <xf numFmtId="0" fontId="34" fillId="11" borderId="3" xfId="0" applyFont="1" applyFill="1" applyBorder="1" applyAlignment="1">
      <alignment horizontal="center" vertical="center" wrapText="1" readingOrder="1"/>
    </xf>
    <xf numFmtId="0" fontId="51" fillId="6" borderId="36" xfId="8" applyFont="1" applyBorder="1" applyAlignment="1">
      <alignment horizontal="center" vertical="center" wrapText="1" readingOrder="1"/>
    </xf>
    <xf numFmtId="166" fontId="37" fillId="13" borderId="1" xfId="10" applyNumberFormat="1" applyFont="1" applyFill="1" applyBorder="1" applyAlignment="1" applyProtection="1">
      <alignment horizontal="center" vertical="center"/>
    </xf>
    <xf numFmtId="0" fontId="34" fillId="11" borderId="16" xfId="0" applyFont="1" applyFill="1" applyBorder="1" applyAlignment="1">
      <alignment horizontal="center" vertical="center" wrapText="1" readingOrder="1"/>
    </xf>
    <xf numFmtId="169" fontId="34" fillId="11" borderId="0" xfId="0" applyNumberFormat="1" applyFont="1" applyFill="1" applyBorder="1" applyAlignment="1">
      <alignment horizontal="center" vertical="center" wrapText="1" readingOrder="1"/>
    </xf>
    <xf numFmtId="0" fontId="34" fillId="11" borderId="0" xfId="0" applyFont="1" applyFill="1" applyBorder="1" applyAlignment="1">
      <alignment horizontal="center" vertical="center" wrapText="1" readingOrder="1"/>
    </xf>
    <xf numFmtId="0" fontId="58" fillId="0" borderId="10" xfId="0" applyNumberFormat="1" applyFont="1" applyFill="1" applyBorder="1" applyAlignment="1">
      <alignment horizontal="center" vertical="center" wrapText="1" readingOrder="1"/>
    </xf>
    <xf numFmtId="0" fontId="59" fillId="0" borderId="0" xfId="0" applyFont="1" applyFill="1" applyBorder="1"/>
    <xf numFmtId="0" fontId="60" fillId="0" borderId="10" xfId="0" applyNumberFormat="1" applyFont="1" applyFill="1" applyBorder="1" applyAlignment="1">
      <alignment horizontal="center" vertical="center" wrapText="1" readingOrder="1"/>
    </xf>
    <xf numFmtId="0" fontId="60" fillId="0" borderId="10" xfId="0" applyNumberFormat="1" applyFont="1" applyFill="1" applyBorder="1" applyAlignment="1">
      <alignment horizontal="left" vertical="center" wrapText="1" readingOrder="1"/>
    </xf>
    <xf numFmtId="0" fontId="60" fillId="0" borderId="10" xfId="0" applyNumberFormat="1" applyFont="1" applyFill="1" applyBorder="1" applyAlignment="1">
      <alignment vertical="center" wrapText="1" readingOrder="1"/>
    </xf>
    <xf numFmtId="165" fontId="60" fillId="0" borderId="10" xfId="0" applyNumberFormat="1" applyFont="1" applyFill="1" applyBorder="1" applyAlignment="1">
      <alignment horizontal="right" vertical="center" wrapText="1" readingOrder="1"/>
    </xf>
    <xf numFmtId="0" fontId="58" fillId="0" borderId="0" xfId="0" applyNumberFormat="1" applyFont="1" applyFill="1" applyBorder="1" applyAlignment="1">
      <alignment horizontal="center" vertical="center" wrapText="1" readingOrder="1"/>
    </xf>
    <xf numFmtId="0" fontId="49" fillId="8" borderId="27" xfId="0" applyNumberFormat="1" applyFont="1" applyFill="1" applyBorder="1" applyAlignment="1">
      <alignment horizontal="center" vertical="center" wrapText="1" readingOrder="1"/>
    </xf>
    <xf numFmtId="0" fontId="49" fillId="8" borderId="0" xfId="0" applyNumberFormat="1" applyFont="1" applyFill="1" applyBorder="1" applyAlignment="1">
      <alignment horizontal="center" vertical="center" wrapText="1" readingOrder="1"/>
    </xf>
    <xf numFmtId="10" fontId="24" fillId="10" borderId="31" xfId="18" applyNumberFormat="1" applyFont="1" applyFill="1" applyBorder="1" applyAlignment="1">
      <alignment horizontal="center" vertical="center" wrapText="1"/>
    </xf>
    <xf numFmtId="10" fontId="24" fillId="10" borderId="32" xfId="18" applyNumberFormat="1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left"/>
    </xf>
    <xf numFmtId="168" fontId="8" fillId="8" borderId="33" xfId="4" applyNumberFormat="1" applyFont="1" applyFill="1" applyBorder="1" applyAlignment="1">
      <alignment horizontal="left"/>
    </xf>
    <xf numFmtId="0" fontId="34" fillId="11" borderId="34" xfId="0" applyFont="1" applyFill="1" applyBorder="1" applyAlignment="1">
      <alignment horizontal="center" vertical="center" wrapText="1" readingOrder="1"/>
    </xf>
    <xf numFmtId="0" fontId="34" fillId="11" borderId="3" xfId="0" applyFont="1" applyFill="1" applyBorder="1" applyAlignment="1">
      <alignment horizontal="center" vertical="center" wrapText="1" readingOrder="1"/>
    </xf>
    <xf numFmtId="0" fontId="19" fillId="5" borderId="28" xfId="3" applyBorder="1" applyAlignment="1">
      <alignment horizontal="center" vertical="center" textRotation="255" wrapText="1"/>
    </xf>
    <xf numFmtId="0" fontId="19" fillId="5" borderId="28" xfId="3" applyBorder="1" applyAlignment="1">
      <alignment horizontal="center" vertical="center" textRotation="255"/>
    </xf>
    <xf numFmtId="0" fontId="50" fillId="3" borderId="28" xfId="1" applyFont="1" applyBorder="1" applyAlignment="1">
      <alignment horizontal="center" textRotation="255" wrapText="1"/>
    </xf>
    <xf numFmtId="165" fontId="20" fillId="6" borderId="29" xfId="8" applyNumberFormat="1" applyBorder="1" applyAlignment="1">
      <alignment horizontal="center" vertical="center" wrapText="1" readingOrder="1"/>
    </xf>
    <xf numFmtId="165" fontId="20" fillId="6" borderId="30" xfId="8" applyNumberFormat="1" applyBorder="1" applyAlignment="1">
      <alignment horizontal="center" vertical="center" wrapText="1" readingOrder="1"/>
    </xf>
    <xf numFmtId="0" fontId="17" fillId="3" borderId="28" xfId="1" applyBorder="1" applyAlignment="1">
      <alignment horizontal="center" textRotation="255" wrapText="1"/>
    </xf>
    <xf numFmtId="168" fontId="19" fillId="5" borderId="28" xfId="3" applyNumberFormat="1" applyBorder="1" applyAlignment="1">
      <alignment horizontal="center" vertical="center" wrapText="1"/>
    </xf>
    <xf numFmtId="0" fontId="19" fillId="5" borderId="28" xfId="3" applyBorder="1" applyAlignment="1">
      <alignment horizontal="center" vertical="center" wrapText="1"/>
    </xf>
    <xf numFmtId="168" fontId="17" fillId="3" borderId="28" xfId="1" applyNumberFormat="1" applyBorder="1" applyAlignment="1">
      <alignment horizontal="center" vertical="center" wrapText="1"/>
    </xf>
    <xf numFmtId="0" fontId="17" fillId="3" borderId="28" xfId="1" applyBorder="1" applyAlignment="1">
      <alignment horizontal="center" vertical="center" wrapText="1"/>
    </xf>
    <xf numFmtId="168" fontId="19" fillId="5" borderId="28" xfId="3" applyNumberFormat="1" applyBorder="1" applyAlignment="1">
      <alignment horizontal="center" vertical="center"/>
    </xf>
    <xf numFmtId="0" fontId="19" fillId="5" borderId="28" xfId="3" applyBorder="1" applyAlignment="1">
      <alignment horizontal="center" vertical="center"/>
    </xf>
    <xf numFmtId="168" fontId="50" fillId="3" borderId="28" xfId="1" applyNumberFormat="1" applyFont="1" applyBorder="1" applyAlignment="1">
      <alignment horizontal="center" vertical="center" wrapText="1"/>
    </xf>
    <xf numFmtId="0" fontId="50" fillId="3" borderId="28" xfId="1" applyFont="1" applyBorder="1" applyAlignment="1">
      <alignment horizontal="center" vertical="center" wrapText="1"/>
    </xf>
    <xf numFmtId="168" fontId="17" fillId="3" borderId="27" xfId="1" applyNumberFormat="1" applyBorder="1" applyAlignment="1">
      <alignment horizontal="center" vertical="center"/>
    </xf>
    <xf numFmtId="0" fontId="17" fillId="3" borderId="27" xfId="1" applyBorder="1" applyAlignment="1">
      <alignment horizontal="center" vertical="center"/>
    </xf>
    <xf numFmtId="168" fontId="17" fillId="3" borderId="0" xfId="1" applyNumberFormat="1" applyBorder="1" applyAlignment="1">
      <alignment horizontal="center" vertical="center"/>
    </xf>
    <xf numFmtId="0" fontId="17" fillId="3" borderId="0" xfId="1" applyBorder="1" applyAlignment="1">
      <alignment horizontal="center" vertical="center"/>
    </xf>
    <xf numFmtId="10" fontId="24" fillId="10" borderId="40" xfId="18" applyNumberFormat="1" applyFont="1" applyFill="1" applyBorder="1" applyAlignment="1">
      <alignment horizontal="center" vertical="center" wrapText="1"/>
    </xf>
    <xf numFmtId="10" fontId="24" fillId="10" borderId="42" xfId="18" applyNumberFormat="1" applyFont="1" applyFill="1" applyBorder="1" applyAlignment="1">
      <alignment horizontal="center" vertical="center"/>
    </xf>
    <xf numFmtId="0" fontId="51" fillId="6" borderId="35" xfId="8" applyFont="1" applyBorder="1" applyAlignment="1">
      <alignment horizontal="center" vertical="center" wrapText="1" readingOrder="1"/>
    </xf>
    <xf numFmtId="0" fontId="51" fillId="6" borderId="36" xfId="8" applyFont="1" applyBorder="1" applyAlignment="1">
      <alignment horizontal="center" vertical="center" wrapText="1" readingOrder="1"/>
    </xf>
    <xf numFmtId="10" fontId="48" fillId="17" borderId="15" xfId="18" applyNumberFormat="1" applyFont="1" applyFill="1" applyBorder="1" applyAlignment="1">
      <alignment horizontal="center" vertical="center" wrapText="1"/>
    </xf>
    <xf numFmtId="10" fontId="48" fillId="17" borderId="15" xfId="18" applyNumberFormat="1" applyFont="1" applyFill="1" applyBorder="1" applyAlignment="1">
      <alignment horizontal="center" vertical="center"/>
    </xf>
    <xf numFmtId="10" fontId="24" fillId="10" borderId="41" xfId="18" applyNumberFormat="1" applyFont="1" applyFill="1" applyBorder="1" applyAlignment="1">
      <alignment horizontal="center" vertical="center" wrapText="1"/>
    </xf>
    <xf numFmtId="10" fontId="24" fillId="10" borderId="44" xfId="18" applyNumberFormat="1" applyFont="1" applyFill="1" applyBorder="1" applyAlignment="1">
      <alignment horizontal="center" vertical="center" wrapText="1"/>
    </xf>
    <xf numFmtId="166" fontId="37" fillId="13" borderId="1" xfId="10" applyNumberFormat="1" applyFont="1" applyFill="1" applyBorder="1" applyAlignment="1" applyProtection="1">
      <alignment horizontal="center" vertical="center"/>
    </xf>
    <xf numFmtId="10" fontId="24" fillId="7" borderId="1" xfId="18" applyNumberFormat="1" applyFont="1" applyFill="1" applyBorder="1" applyAlignment="1">
      <alignment horizontal="center" vertical="center" wrapText="1"/>
    </xf>
    <xf numFmtId="0" fontId="34" fillId="11" borderId="39" xfId="0" applyFont="1" applyFill="1" applyBorder="1" applyAlignment="1">
      <alignment horizontal="center" vertical="center" wrapText="1" readingOrder="1"/>
    </xf>
    <xf numFmtId="0" fontId="34" fillId="11" borderId="16" xfId="0" applyFont="1" applyFill="1" applyBorder="1" applyAlignment="1">
      <alignment horizontal="center" vertical="center" wrapText="1" readingOrder="1"/>
    </xf>
    <xf numFmtId="0" fontId="52" fillId="11" borderId="39" xfId="0" applyFont="1" applyFill="1" applyBorder="1" applyAlignment="1">
      <alignment horizontal="center" vertical="center" wrapText="1" readingOrder="1"/>
    </xf>
    <xf numFmtId="0" fontId="52" fillId="11" borderId="16" xfId="0" applyFont="1" applyFill="1" applyBorder="1" applyAlignment="1">
      <alignment horizontal="center" vertical="center" wrapText="1" readingOrder="1"/>
    </xf>
    <xf numFmtId="10" fontId="47" fillId="10" borderId="15" xfId="18" applyNumberFormat="1" applyFont="1" applyFill="1" applyBorder="1" applyAlignment="1">
      <alignment horizontal="center" vertical="center" wrapText="1"/>
    </xf>
    <xf numFmtId="0" fontId="51" fillId="6" borderId="37" xfId="8" applyFont="1" applyBorder="1" applyAlignment="1">
      <alignment horizontal="center" vertical="center" wrapText="1" readingOrder="1"/>
    </xf>
    <xf numFmtId="169" fontId="36" fillId="4" borderId="21" xfId="2" applyNumberFormat="1" applyFont="1" applyBorder="1" applyAlignment="1">
      <alignment horizontal="center" vertical="center" wrapText="1" readingOrder="1"/>
    </xf>
    <xf numFmtId="169" fontId="36" fillId="4" borderId="38" xfId="2" applyNumberFormat="1" applyFont="1" applyBorder="1" applyAlignment="1">
      <alignment horizontal="center" vertical="center" wrapText="1" readingOrder="1"/>
    </xf>
    <xf numFmtId="169" fontId="34" fillId="11" borderId="0" xfId="0" applyNumberFormat="1" applyFont="1" applyFill="1" applyBorder="1" applyAlignment="1">
      <alignment horizontal="center" vertical="center" wrapText="1" readingOrder="1"/>
    </xf>
    <xf numFmtId="169" fontId="34" fillId="11" borderId="38" xfId="0" applyNumberFormat="1" applyFont="1" applyFill="1" applyBorder="1" applyAlignment="1">
      <alignment horizontal="center" vertical="center" wrapText="1" readingOrder="1"/>
    </xf>
    <xf numFmtId="0" fontId="34" fillId="11" borderId="0" xfId="0" applyFont="1" applyFill="1" applyBorder="1" applyAlignment="1">
      <alignment horizontal="center" vertical="center" wrapText="1" readingOrder="1"/>
    </xf>
    <xf numFmtId="10" fontId="53" fillId="12" borderId="39" xfId="18" applyNumberFormat="1" applyFont="1" applyFill="1" applyBorder="1" applyAlignment="1">
      <alignment horizontal="center" vertical="center" wrapText="1"/>
    </xf>
    <xf numFmtId="10" fontId="53" fillId="12" borderId="16" xfId="18" applyNumberFormat="1" applyFont="1" applyFill="1" applyBorder="1" applyAlignment="1">
      <alignment horizontal="center" vertical="center" wrapText="1"/>
    </xf>
    <xf numFmtId="0" fontId="52" fillId="11" borderId="45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/>
    </xf>
    <xf numFmtId="0" fontId="58" fillId="20" borderId="10" xfId="0" applyNumberFormat="1" applyFont="1" applyFill="1" applyBorder="1" applyAlignment="1">
      <alignment horizontal="center" vertical="center" wrapText="1" readingOrder="1"/>
    </xf>
    <xf numFmtId="0" fontId="57" fillId="0" borderId="0" xfId="0" applyFont="1" applyFill="1" applyBorder="1" applyAlignment="1">
      <alignment horizontal="center"/>
    </xf>
    <xf numFmtId="0" fontId="63" fillId="20" borderId="10" xfId="0" applyNumberFormat="1" applyFont="1" applyFill="1" applyBorder="1" applyAlignment="1">
      <alignment horizontal="center" vertical="center" wrapText="1" readingOrder="1"/>
    </xf>
    <xf numFmtId="0" fontId="35" fillId="20" borderId="10" xfId="0" applyNumberFormat="1" applyFont="1" applyFill="1" applyBorder="1" applyAlignment="1">
      <alignment horizontal="center" vertical="center" wrapText="1" readingOrder="1"/>
    </xf>
    <xf numFmtId="165" fontId="35" fillId="20" borderId="10" xfId="0" applyNumberFormat="1" applyFont="1" applyFill="1" applyBorder="1" applyAlignment="1">
      <alignment horizontal="right" vertical="center" wrapText="1" readingOrder="1"/>
    </xf>
    <xf numFmtId="0" fontId="64" fillId="20" borderId="27" xfId="0" applyNumberFormat="1" applyFont="1" applyFill="1" applyBorder="1" applyAlignment="1">
      <alignment horizontal="center" vertical="center" wrapText="1" readingOrder="1"/>
    </xf>
    <xf numFmtId="0" fontId="64" fillId="20" borderId="0" xfId="0" applyNumberFormat="1" applyFont="1" applyFill="1" applyBorder="1" applyAlignment="1">
      <alignment horizontal="center" vertical="center" wrapText="1" readingOrder="1"/>
    </xf>
    <xf numFmtId="0" fontId="62" fillId="20" borderId="10" xfId="22" applyNumberFormat="1" applyFont="1" applyFill="1" applyBorder="1" applyAlignment="1">
      <alignment horizontal="center" vertical="center" wrapText="1" readingOrder="1"/>
    </xf>
    <xf numFmtId="171" fontId="62" fillId="20" borderId="10" xfId="22" applyNumberFormat="1" applyFont="1" applyFill="1" applyBorder="1" applyAlignment="1">
      <alignment horizontal="center" vertical="center" wrapText="1" readingOrder="1"/>
    </xf>
    <xf numFmtId="0" fontId="21" fillId="19" borderId="10" xfId="23" applyNumberFormat="1" applyFont="1" applyBorder="1" applyAlignment="1">
      <alignment horizontal="center" vertical="center" wrapText="1" readingOrder="1"/>
    </xf>
    <xf numFmtId="171" fontId="21" fillId="19" borderId="10" xfId="23" applyNumberFormat="1" applyFont="1" applyBorder="1" applyAlignment="1">
      <alignment horizontal="center" vertical="center" wrapText="1" readingOrder="1"/>
    </xf>
  </cellXfs>
  <cellStyles count="24">
    <cellStyle name="20% - Énfasis3" xfId="23" builtinId="38"/>
    <cellStyle name="Buena" xfId="1" builtinId="26"/>
    <cellStyle name="Cálculo" xfId="2" builtinId="22"/>
    <cellStyle name="Énfasis3" xfId="22" builtinId="37"/>
    <cellStyle name="Incorrecto" xfId="3" builtinId="27"/>
    <cellStyle name="Millares" xfId="4" builtinId="3"/>
    <cellStyle name="Millares 2" xfId="5"/>
    <cellStyle name="Millares 7" xfId="6"/>
    <cellStyle name="Millares 7 2" xfId="7"/>
    <cellStyle name="Neutral" xfId="8" builtinId="28"/>
    <cellStyle name="Normal" xfId="0" builtinId="0"/>
    <cellStyle name="Normal 2" xfId="9"/>
    <cellStyle name="Normal 2 2" xfId="10"/>
    <cellStyle name="Normal 3" xfId="11"/>
    <cellStyle name="Normal 4" xfId="12"/>
    <cellStyle name="Normal 5" xfId="13"/>
    <cellStyle name="Normal 5 2" xfId="14"/>
    <cellStyle name="Porcentaje" xfId="15" builtinId="5"/>
    <cellStyle name="Porcentaje 2" xfId="16"/>
    <cellStyle name="Porcentaje 2 2" xfId="17"/>
    <cellStyle name="Porcentaje 7" xfId="18"/>
    <cellStyle name="Porcentaje 7 2" xfId="19"/>
    <cellStyle name="Porcentual 7" xfId="20"/>
    <cellStyle name="Porcentual 7 2" xfId="21"/>
  </cellStyles>
  <dxfs count="3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JECUCION%20MINISTERIO%20DEL%20INTERIOR%2013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ASAKIWE-Junio-de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52534345.AEROCIVIL\AppData\Local\Microsoft\Windows\Temporary%20Internet%20Files\Content.Outlook\RC2T6RI7\TERCER%20%20TRIMESTRE\SEGUIMIENTO%20VP%20-%20AEROCIVIL%20%20AGOSTO%2031-%202015%20Def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52534345.AEROCIVIL\Desktop\Presupuesto%202015%20-%20%25%20COMPROMIS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Apropiación"/>
      <sheetName val="Compromisos"/>
      <sheetName val="Graficos"/>
      <sheetName val="DIRJURIDICA"/>
      <sheetName val="INFRAESTRUCTURA"/>
      <sheetName val="GAS GEN"/>
      <sheetName val="OFISISTEMAS"/>
      <sheetName val="SECREGRAL"/>
      <sheetName val="AFROS"/>
      <sheetName val="INDIGENAS"/>
      <sheetName val="DEMOCRACIA"/>
      <sheetName val="GOBERNABI"/>
      <sheetName val="CONSULPREVIA"/>
      <sheetName val="DERHUMANOS"/>
      <sheetName val="Reporte"/>
      <sheetName val="TOTAL"/>
      <sheetName val="GAS_GEN"/>
    </sheetNames>
    <sheetDataSet>
      <sheetData sheetId="0" refreshError="1">
        <row r="2">
          <cell r="A2" t="str">
            <v>COOPERACION</v>
          </cell>
          <cell r="D2" t="str">
            <v>Inversión</v>
          </cell>
          <cell r="E2" t="str">
            <v>Vice Ministerio Interior</v>
          </cell>
          <cell r="F2" t="str">
            <v>Si</v>
          </cell>
          <cell r="G2" t="str">
            <v>Ene</v>
          </cell>
          <cell r="I2" t="str">
            <v>Gastos de Personal</v>
          </cell>
          <cell r="L2">
            <v>1</v>
          </cell>
          <cell r="M2">
            <v>2010</v>
          </cell>
        </row>
        <row r="3">
          <cell r="A3" t="str">
            <v>DACN</v>
          </cell>
          <cell r="D3" t="str">
            <v>Funcionamiento</v>
          </cell>
          <cell r="E3" t="str">
            <v>Vice Ministerio Justicia</v>
          </cell>
          <cell r="G3" t="str">
            <v>Feb</v>
          </cell>
          <cell r="I3" t="str">
            <v>Gastos Generales</v>
          </cell>
          <cell r="L3">
            <v>2</v>
          </cell>
          <cell r="M3">
            <v>2011</v>
          </cell>
        </row>
        <row r="4">
          <cell r="A4" t="str">
            <v>DAI</v>
          </cell>
          <cell r="E4" t="str">
            <v>Secretaría General</v>
          </cell>
          <cell r="G4" t="str">
            <v>Mar</v>
          </cell>
          <cell r="I4" t="str">
            <v>Transferencias</v>
          </cell>
          <cell r="L4">
            <v>3</v>
          </cell>
          <cell r="M4">
            <v>2012</v>
          </cell>
        </row>
        <row r="5">
          <cell r="A5" t="str">
            <v>DAJ</v>
          </cell>
          <cell r="G5" t="str">
            <v>Abr</v>
          </cell>
          <cell r="I5" t="str">
            <v>Inversión</v>
          </cell>
          <cell r="L5">
            <v>4</v>
          </cell>
          <cell r="M5">
            <v>2013</v>
          </cell>
        </row>
        <row r="6">
          <cell r="A6" t="str">
            <v>DDPC</v>
          </cell>
          <cell r="G6" t="str">
            <v>May</v>
          </cell>
          <cell r="L6">
            <v>5</v>
          </cell>
          <cell r="M6">
            <v>2014</v>
          </cell>
        </row>
        <row r="7">
          <cell r="A7" t="str">
            <v>DGR</v>
          </cell>
          <cell r="G7" t="str">
            <v>Jun</v>
          </cell>
          <cell r="L7">
            <v>6</v>
          </cell>
          <cell r="M7">
            <v>2015</v>
          </cell>
        </row>
        <row r="8">
          <cell r="A8" t="str">
            <v>DGT</v>
          </cell>
          <cell r="G8" t="str">
            <v>Jul</v>
          </cell>
          <cell r="L8">
            <v>7</v>
          </cell>
          <cell r="M8">
            <v>2016</v>
          </cell>
        </row>
        <row r="9">
          <cell r="A9" t="str">
            <v>DHH</v>
          </cell>
          <cell r="G9" t="str">
            <v>Ago</v>
          </cell>
          <cell r="L9">
            <v>8</v>
          </cell>
        </row>
        <row r="10">
          <cell r="A10" t="str">
            <v>DIJ</v>
          </cell>
          <cell r="G10" t="str">
            <v>Sep</v>
          </cell>
          <cell r="L10">
            <v>9</v>
          </cell>
        </row>
        <row r="11">
          <cell r="A11" t="str">
            <v>DIN</v>
          </cell>
          <cell r="G11" t="str">
            <v>Oct</v>
          </cell>
          <cell r="L11">
            <v>10</v>
          </cell>
        </row>
        <row r="12">
          <cell r="A12" t="str">
            <v>DJE</v>
          </cell>
          <cell r="G12" t="str">
            <v>Nov</v>
          </cell>
          <cell r="L12">
            <v>11</v>
          </cell>
        </row>
        <row r="13">
          <cell r="A13" t="str">
            <v>DJFD</v>
          </cell>
          <cell r="G13" t="str">
            <v>Dic</v>
          </cell>
          <cell r="L13">
            <v>12</v>
          </cell>
        </row>
        <row r="14">
          <cell r="A14" t="str">
            <v>DJT</v>
          </cell>
          <cell r="L14">
            <v>13</v>
          </cell>
        </row>
        <row r="15">
          <cell r="A15" t="str">
            <v>DNDA</v>
          </cell>
          <cell r="L15">
            <v>14</v>
          </cell>
        </row>
        <row r="16">
          <cell r="A16" t="str">
            <v>DNE</v>
          </cell>
          <cell r="L16">
            <v>15</v>
          </cell>
        </row>
        <row r="17">
          <cell r="A17" t="str">
            <v>DOJ</v>
          </cell>
          <cell r="L17">
            <v>16</v>
          </cell>
        </row>
        <row r="18">
          <cell r="A18" t="str">
            <v>DPCP</v>
          </cell>
          <cell r="L18">
            <v>17</v>
          </cell>
        </row>
        <row r="19">
          <cell r="A19" t="str">
            <v>DPLD</v>
          </cell>
          <cell r="L19">
            <v>18</v>
          </cell>
        </row>
        <row r="20">
          <cell r="A20" t="str">
            <v>FPFD</v>
          </cell>
          <cell r="L20">
            <v>19</v>
          </cell>
        </row>
        <row r="21">
          <cell r="A21" t="str">
            <v>GGA</v>
          </cell>
          <cell r="L21">
            <v>20</v>
          </cell>
        </row>
        <row r="22">
          <cell r="A22" t="str">
            <v>GCP</v>
          </cell>
        </row>
        <row r="23">
          <cell r="A23" t="str">
            <v>GGH</v>
          </cell>
          <cell r="L23">
            <v>21</v>
          </cell>
        </row>
        <row r="24">
          <cell r="A24" t="str">
            <v>IMPRENTA</v>
          </cell>
          <cell r="L24">
            <v>22</v>
          </cell>
        </row>
        <row r="25">
          <cell r="A25" t="str">
            <v>INPEC</v>
          </cell>
          <cell r="L25">
            <v>23</v>
          </cell>
        </row>
        <row r="26">
          <cell r="A26" t="str">
            <v>NASAKIWE</v>
          </cell>
          <cell r="L26">
            <v>24</v>
          </cell>
        </row>
        <row r="27">
          <cell r="A27" t="str">
            <v>OAL</v>
          </cell>
          <cell r="L27">
            <v>25</v>
          </cell>
        </row>
        <row r="28">
          <cell r="A28" t="str">
            <v>OAP</v>
          </cell>
          <cell r="L28">
            <v>26</v>
          </cell>
        </row>
        <row r="29">
          <cell r="A29" t="str">
            <v>OIP</v>
          </cell>
        </row>
        <row r="30">
          <cell r="A30" t="str">
            <v>OCI</v>
          </cell>
          <cell r="L30">
            <v>27</v>
          </cell>
        </row>
        <row r="31">
          <cell r="A31" t="str">
            <v>ORGINT</v>
          </cell>
          <cell r="L31">
            <v>28</v>
          </cell>
        </row>
        <row r="32">
          <cell r="A32" t="str">
            <v>OSI</v>
          </cell>
          <cell r="L32">
            <v>29</v>
          </cell>
        </row>
        <row r="33">
          <cell r="A33" t="str">
            <v>Programa</v>
          </cell>
          <cell r="L33">
            <v>30</v>
          </cell>
        </row>
        <row r="34">
          <cell r="A34" t="str">
            <v>SECGRAL</v>
          </cell>
          <cell r="L34">
            <v>31</v>
          </cell>
        </row>
        <row r="35">
          <cell r="A35" t="str">
            <v>SNR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Dependencia o entidad"/>
    </sheetNames>
    <sheetDataSet>
      <sheetData sheetId="0" refreshError="1">
        <row r="2">
          <cell r="L2">
            <v>40209</v>
          </cell>
        </row>
        <row r="3">
          <cell r="L3">
            <v>40237</v>
          </cell>
        </row>
        <row r="4">
          <cell r="L4">
            <v>40268</v>
          </cell>
        </row>
        <row r="5">
          <cell r="L5">
            <v>40298</v>
          </cell>
        </row>
        <row r="6">
          <cell r="L6">
            <v>40329</v>
          </cell>
        </row>
        <row r="7">
          <cell r="L7">
            <v>40359</v>
          </cell>
        </row>
        <row r="8">
          <cell r="L8">
            <v>40390</v>
          </cell>
        </row>
        <row r="9">
          <cell r="L9">
            <v>40421</v>
          </cell>
        </row>
        <row r="10">
          <cell r="L10">
            <v>40451</v>
          </cell>
        </row>
        <row r="11">
          <cell r="L11">
            <v>40482</v>
          </cell>
        </row>
        <row r="12">
          <cell r="L12">
            <v>40512</v>
          </cell>
        </row>
        <row r="13">
          <cell r="L13">
            <v>40543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ón Febrero 19"/>
      <sheetName val="SIIF Ejecución Agosto 31"/>
      <sheetName val="Ejecucion Agosto 31"/>
      <sheetName val="TOTAL  ENTIDAD"/>
      <sheetName val="FUNCIONAMIENTO"/>
      <sheetName val=" INVERSION"/>
      <sheetName val="POR PROGRAMA"/>
      <sheetName val="POR  PROYECTO"/>
      <sheetName val="Hoja1"/>
      <sheetName val="METAS ENTIDAD"/>
      <sheetName val="Hoja2"/>
      <sheetName val="METAS INVERSIÓN"/>
      <sheetName val="Semaforos"/>
      <sheetName val="Análisis"/>
    </sheetNames>
    <sheetDataSet>
      <sheetData sheetId="0" refreshError="1"/>
      <sheetData sheetId="1" refreshError="1">
        <row r="2">
          <cell r="C2" t="str">
            <v>REPORTE  PRESUPUESTAL  SIIF 
Agosto  31 de 2015. Hora 5:00 pm</v>
          </cell>
        </row>
      </sheetData>
      <sheetData sheetId="2" refreshError="1">
        <row r="27">
          <cell r="H27">
            <v>124799</v>
          </cell>
        </row>
        <row r="28">
          <cell r="H28">
            <v>129503.93100700001</v>
          </cell>
        </row>
        <row r="29">
          <cell r="H29">
            <v>23440.068993000001</v>
          </cell>
        </row>
        <row r="30">
          <cell r="H30">
            <v>9953</v>
          </cell>
        </row>
        <row r="31">
          <cell r="H31">
            <v>55129</v>
          </cell>
        </row>
        <row r="32">
          <cell r="H32">
            <v>25000</v>
          </cell>
        </row>
        <row r="33">
          <cell r="H33">
            <v>8000</v>
          </cell>
        </row>
        <row r="34">
          <cell r="H34">
            <v>6726</v>
          </cell>
        </row>
        <row r="35">
          <cell r="H35">
            <v>24640</v>
          </cell>
        </row>
        <row r="36">
          <cell r="H36">
            <v>50280.3364</v>
          </cell>
        </row>
        <row r="37">
          <cell r="H37">
            <v>50000</v>
          </cell>
        </row>
        <row r="38">
          <cell r="H38">
            <v>7670.7308229999999</v>
          </cell>
        </row>
        <row r="39">
          <cell r="H39">
            <v>30000</v>
          </cell>
        </row>
        <row r="40">
          <cell r="H40">
            <v>5238</v>
          </cell>
        </row>
        <row r="41">
          <cell r="H41">
            <v>8100</v>
          </cell>
        </row>
        <row r="42">
          <cell r="H42">
            <v>7180</v>
          </cell>
        </row>
        <row r="43">
          <cell r="H43">
            <v>3000</v>
          </cell>
        </row>
        <row r="44">
          <cell r="H44">
            <v>5739.24</v>
          </cell>
        </row>
        <row r="45">
          <cell r="H45">
            <v>10000</v>
          </cell>
        </row>
        <row r="46">
          <cell r="H46">
            <v>745</v>
          </cell>
        </row>
        <row r="47">
          <cell r="H47">
            <v>15000</v>
          </cell>
        </row>
        <row r="48">
          <cell r="H48">
            <v>8923</v>
          </cell>
        </row>
        <row r="49">
          <cell r="H49">
            <v>2189</v>
          </cell>
        </row>
        <row r="50">
          <cell r="H50">
            <v>200</v>
          </cell>
        </row>
        <row r="51">
          <cell r="H51">
            <v>15000</v>
          </cell>
        </row>
        <row r="52">
          <cell r="H52">
            <v>1000</v>
          </cell>
        </row>
        <row r="53">
          <cell r="H53">
            <v>500</v>
          </cell>
        </row>
        <row r="54">
          <cell r="H54">
            <v>13650</v>
          </cell>
        </row>
        <row r="55">
          <cell r="H55">
            <v>6000</v>
          </cell>
        </row>
        <row r="56">
          <cell r="H56">
            <v>12700</v>
          </cell>
        </row>
        <row r="57">
          <cell r="H57">
            <v>8817</v>
          </cell>
        </row>
        <row r="58">
          <cell r="H58">
            <v>3200</v>
          </cell>
        </row>
        <row r="59">
          <cell r="H59">
            <v>2447</v>
          </cell>
        </row>
        <row r="60">
          <cell r="H60">
            <v>1200</v>
          </cell>
        </row>
        <row r="61">
          <cell r="H61">
            <v>33500</v>
          </cell>
        </row>
        <row r="62">
          <cell r="H62">
            <v>10006</v>
          </cell>
        </row>
        <row r="63">
          <cell r="H63">
            <v>1077</v>
          </cell>
        </row>
        <row r="64">
          <cell r="H64">
            <v>9500</v>
          </cell>
        </row>
        <row r="66">
          <cell r="H66">
            <v>3140</v>
          </cell>
        </row>
        <row r="67">
          <cell r="H67">
            <v>2800</v>
          </cell>
        </row>
        <row r="68">
          <cell r="H68">
            <v>32024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ón"/>
      <sheetName val="Desagregado"/>
      <sheetName val="Programa"/>
      <sheetName val="111"/>
      <sheetName val="112"/>
      <sheetName val="113"/>
      <sheetName val="213"/>
      <sheetName val="123"/>
      <sheetName val="320"/>
      <sheetName val="450"/>
      <sheetName val="510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A3">
            <v>213</v>
          </cell>
          <cell r="B3" t="str">
            <v>ADQUISISCION, PRODUCCION Y MANTENIMIENTO DE LA DOTACION PROPIA DEL SECTOR</v>
          </cell>
          <cell r="C3">
            <v>224279240000</v>
          </cell>
        </row>
        <row r="4">
          <cell r="A4">
            <v>213608001</v>
          </cell>
          <cell r="B4" t="str">
            <v>ADQUISICION DE EQUIPOS Y SISTEMAS DE ENERGIA SOLAR Y COMERCIAL A NIVEL NACIONAL.</v>
          </cell>
          <cell r="C4">
            <v>4600000000</v>
          </cell>
        </row>
        <row r="5">
          <cell r="A5">
            <v>213608001000001</v>
          </cell>
          <cell r="B5" t="str">
            <v>ADQUISICION, INSTALACION, CALIBRACION, PRUEBA  Y PUESTA EN FUNCIONAMIENTO SISTEMAS UPS, CARGADORES DE BATERIA, RECTIFICADORES Y/O REACONDICIONAMIENTO.</v>
          </cell>
          <cell r="C5">
            <v>330000000</v>
          </cell>
        </row>
        <row r="6">
          <cell r="B6" t="str">
            <v>ASIGNADO REGIONAL CUNDINAMARCA</v>
          </cell>
          <cell r="C6">
            <v>100000000</v>
          </cell>
        </row>
        <row r="7">
          <cell r="B7" t="str">
            <v>ASIGNADO REGIONAL ANTIOQUIA</v>
          </cell>
          <cell r="C7">
            <v>120000000</v>
          </cell>
        </row>
        <row r="8">
          <cell r="B8" t="str">
            <v>ASIGNADO REGIONAL ATLANTICO</v>
          </cell>
          <cell r="C8">
            <v>50000000</v>
          </cell>
        </row>
        <row r="9">
          <cell r="B9" t="str">
            <v>ASIGNADO REGIONAL VALLE</v>
          </cell>
          <cell r="C9">
            <v>60000000</v>
          </cell>
        </row>
        <row r="10">
          <cell r="A10">
            <v>213608001000002</v>
          </cell>
          <cell r="B10" t="str">
            <v>ADQUISICION, INSTALACION, CALIBRACION,  PRUEBA Y PUESTA EN FUNCIONAMIENTO DE GRUPOS ELECTROGENOS Y COMPLEMENTARIOS (INCLUYE OBRAS CIVILES) NIVEL NACIONAL.</v>
          </cell>
          <cell r="C10">
            <v>1000000000</v>
          </cell>
        </row>
        <row r="11">
          <cell r="B11" t="str">
            <v>AEROPUERTO NEIVA</v>
          </cell>
          <cell r="C11">
            <v>105000000</v>
          </cell>
        </row>
        <row r="12">
          <cell r="B12" t="str">
            <v>ESTACION PICALEÑA</v>
          </cell>
          <cell r="C12">
            <v>65000000</v>
          </cell>
        </row>
        <row r="13">
          <cell r="B13" t="str">
            <v>ESTACION TUBARA</v>
          </cell>
          <cell r="C13">
            <v>200000000</v>
          </cell>
        </row>
        <row r="14">
          <cell r="B14" t="str">
            <v>ESTACION CERRO KENEDY</v>
          </cell>
          <cell r="C14">
            <v>150000000</v>
          </cell>
        </row>
        <row r="15">
          <cell r="B15" t="str">
            <v>AEROPUERTO MANIZALES</v>
          </cell>
          <cell r="C15">
            <v>75000000</v>
          </cell>
        </row>
        <row r="16">
          <cell r="B16" t="str">
            <v>ESTACION ROZO</v>
          </cell>
          <cell r="C16">
            <v>85000000</v>
          </cell>
        </row>
        <row r="17">
          <cell r="B17" t="str">
            <v>AEROPUERTO CUCUTA</v>
          </cell>
          <cell r="C17">
            <v>128000000</v>
          </cell>
        </row>
        <row r="18">
          <cell r="B18" t="str">
            <v>ESTACION CERRO JURISDICCIONES</v>
          </cell>
          <cell r="C18">
            <v>64000000</v>
          </cell>
        </row>
        <row r="19">
          <cell r="B19" t="str">
            <v>AEROPUERTO TABLON DE TAMARA</v>
          </cell>
          <cell r="C19">
            <v>64000000</v>
          </cell>
        </row>
        <row r="20">
          <cell r="B20" t="str">
            <v>ESTACION LA VIRGEN</v>
          </cell>
          <cell r="C20">
            <v>64000000</v>
          </cell>
        </row>
        <row r="21">
          <cell r="A21">
            <v>213608001000003</v>
          </cell>
          <cell r="B21" t="str">
            <v>ADQUISICION, INSTALACION, CALIBRACION, PRUEBA Y PUESTA EN FUNCIONAMIENTO DE EQUIPOS Y SUBESTACIONES ELECTRICAS Y COMPLEMENTARIOS.</v>
          </cell>
          <cell r="C21">
            <v>2270000000</v>
          </cell>
        </row>
        <row r="22">
          <cell r="B22" t="str">
            <v>NIVEL CENTRAL</v>
          </cell>
          <cell r="C22">
            <v>1800000000</v>
          </cell>
        </row>
        <row r="23">
          <cell r="B23" t="str">
            <v>AEROPUERTO SAN ANDRES ISLA</v>
          </cell>
          <cell r="C23">
            <v>470000000</v>
          </cell>
        </row>
        <row r="24">
          <cell r="A24">
            <v>213608001000005</v>
          </cell>
          <cell r="B24" t="str">
            <v>ADQUISICION, INSTALACION, ELECTRIFICACION CON RED COMERCIAL NUEVAS ESTACIONES, CONSTRUCCION DE REDES AEREAS- SUBTERRANEAS Y ACTIVIDADES COMPLEMENTARIAS.</v>
          </cell>
          <cell r="C24">
            <v>1000000000</v>
          </cell>
        </row>
        <row r="25">
          <cell r="B25" t="str">
            <v>NIVEL CENTRAL</v>
          </cell>
          <cell r="C25">
            <v>1000000000</v>
          </cell>
        </row>
        <row r="26">
          <cell r="A26">
            <v>213608002</v>
          </cell>
          <cell r="B26" t="str">
            <v>ADQUISICION DE EQUIPOS DE PROTECCION Y EXTINCION DE INCENDIOS BUSQUEDA Y RESCATE.</v>
          </cell>
          <cell r="C26">
            <v>8180000000</v>
          </cell>
        </row>
        <row r="27">
          <cell r="A27">
            <v>213608002000001</v>
          </cell>
          <cell r="B27" t="str">
            <v>ADQUISICION MAQUINAS DE EXTINCION DE INCENDIOS.</v>
          </cell>
          <cell r="C27">
            <v>4570000000</v>
          </cell>
        </row>
        <row r="28">
          <cell r="B28" t="str">
            <v>NIVEL CENTRAL</v>
          </cell>
          <cell r="C28">
            <v>4570000000</v>
          </cell>
        </row>
        <row r="29">
          <cell r="A29">
            <v>213608002000002</v>
          </cell>
          <cell r="B29" t="str">
            <v>ADQUISICION DE EQUIPOS DE RESCATE SEI-SAR</v>
          </cell>
          <cell r="C29">
            <v>860000000</v>
          </cell>
        </row>
        <row r="30">
          <cell r="B30" t="str">
            <v>NIVEL CENTRAL</v>
          </cell>
          <cell r="C30">
            <v>760000000</v>
          </cell>
        </row>
        <row r="31">
          <cell r="B31" t="str">
            <v>ASIGNADO REGIONAL CUNDINAMARCA</v>
          </cell>
          <cell r="C31">
            <v>25000000</v>
          </cell>
        </row>
        <row r="32">
          <cell r="B32" t="str">
            <v>ASIGNADO REGIONAL ANTIOQUIA</v>
          </cell>
          <cell r="C32">
            <v>8000000</v>
          </cell>
        </row>
        <row r="33">
          <cell r="B33" t="str">
            <v>ASIGNADO REGIONAL ATLANTICO</v>
          </cell>
          <cell r="C33">
            <v>12000000</v>
          </cell>
        </row>
        <row r="34">
          <cell r="B34" t="str">
            <v>ASIGNADO REGIONAL VALLE</v>
          </cell>
          <cell r="C34">
            <v>25000000</v>
          </cell>
        </row>
        <row r="35">
          <cell r="B35" t="str">
            <v>ASIGNADO REGIONAL NORTE DE SAN</v>
          </cell>
          <cell r="C35">
            <v>17000000</v>
          </cell>
        </row>
        <row r="36">
          <cell r="B36" t="str">
            <v>ASIGNADO REGIONAL META</v>
          </cell>
          <cell r="C36">
            <v>13000000</v>
          </cell>
        </row>
        <row r="37">
          <cell r="A37">
            <v>213608002000003</v>
          </cell>
          <cell r="B37" t="str">
            <v>ADQUISICION DE HERRAMIENTAS DE RESCATE SEI - SAR.</v>
          </cell>
          <cell r="C37">
            <v>600000000</v>
          </cell>
        </row>
        <row r="38">
          <cell r="B38" t="str">
            <v>NIVEL CENTRAL</v>
          </cell>
          <cell r="C38">
            <v>600000000</v>
          </cell>
        </row>
        <row r="39">
          <cell r="A39">
            <v>213608002000004</v>
          </cell>
          <cell r="B39" t="str">
            <v>ADQUISICION DE EQUIPOS DE  PROTECCION PERSONAL SEI - SAR.</v>
          </cell>
          <cell r="C39">
            <v>1180000000</v>
          </cell>
        </row>
        <row r="40">
          <cell r="B40" t="str">
            <v>NIVEL CENTRAL</v>
          </cell>
          <cell r="C40">
            <v>1180000000</v>
          </cell>
        </row>
        <row r="41">
          <cell r="A41">
            <v>213608002000006</v>
          </cell>
          <cell r="B41" t="str">
            <v>ADQUISICION DE ELEMENTOS DE PROTECCION PERSONAL SEI - SAR.</v>
          </cell>
          <cell r="C41">
            <v>850000000</v>
          </cell>
        </row>
        <row r="42">
          <cell r="B42" t="str">
            <v>NIVEL CENTRAL</v>
          </cell>
          <cell r="C42">
            <v>850000000</v>
          </cell>
        </row>
        <row r="43">
          <cell r="A43">
            <v>213608002000009</v>
          </cell>
          <cell r="B43" t="str">
            <v>ADQUISICIÓN DE ELEMENTOS PARA LA REALIZACION DE SIMULACROS SEI.</v>
          </cell>
          <cell r="C43">
            <v>120000000</v>
          </cell>
        </row>
        <row r="44">
          <cell r="B44" t="str">
            <v>ASIGNADO REGIONAL CUNDINAMARCA</v>
          </cell>
          <cell r="C44">
            <v>32000000</v>
          </cell>
        </row>
        <row r="45">
          <cell r="B45" t="str">
            <v>ASIGNADO REGIONAL ATLANTICO</v>
          </cell>
          <cell r="C45">
            <v>20000000</v>
          </cell>
        </row>
        <row r="46">
          <cell r="B46" t="str">
            <v>ASIGNADO REGIONAL VALLE</v>
          </cell>
          <cell r="C46">
            <v>32000000</v>
          </cell>
        </row>
        <row r="47">
          <cell r="B47" t="str">
            <v>ASIGNADO REGIONAL NORTE DE SAN</v>
          </cell>
          <cell r="C47">
            <v>20000000</v>
          </cell>
        </row>
        <row r="48">
          <cell r="B48" t="str">
            <v>ASIGNADO REGIONAL META</v>
          </cell>
          <cell r="C48">
            <v>16000000</v>
          </cell>
        </row>
        <row r="49">
          <cell r="A49">
            <v>213608003</v>
          </cell>
          <cell r="B49" t="str">
            <v>MANTENIMIENTO Y CONSERVACION DE EQUIPOS DE EXTINCION DE INCENDIOS Y BUSQUEDA Y RESCATE.</v>
          </cell>
          <cell r="C49">
            <v>3000000000</v>
          </cell>
        </row>
        <row r="50">
          <cell r="A50">
            <v>213608003000004</v>
          </cell>
          <cell r="B50" t="str">
            <v>RECARGUE DE EXTINTORES.</v>
          </cell>
          <cell r="C50">
            <v>75000000</v>
          </cell>
        </row>
        <row r="51">
          <cell r="B51" t="str">
            <v>ASIGNADO REGIONAL CUNDINAMARCA</v>
          </cell>
          <cell r="C51">
            <v>20000000</v>
          </cell>
        </row>
        <row r="52">
          <cell r="B52" t="str">
            <v>ASIGNADO REGIONAL ANTIOQUIA</v>
          </cell>
          <cell r="C52">
            <v>8000000</v>
          </cell>
        </row>
        <row r="53">
          <cell r="B53" t="str">
            <v>ASIGNADO REGIONAL ATLANTICO</v>
          </cell>
          <cell r="C53">
            <v>12000000</v>
          </cell>
        </row>
        <row r="54">
          <cell r="B54" t="str">
            <v>ASIGNADO REGIONAL VALLE</v>
          </cell>
          <cell r="C54">
            <v>15000000</v>
          </cell>
        </row>
        <row r="55">
          <cell r="B55" t="str">
            <v>ASIGNADO REGIONAL NORTE DE SAN</v>
          </cell>
          <cell r="C55">
            <v>10000000</v>
          </cell>
        </row>
        <row r="56">
          <cell r="B56" t="str">
            <v>ASIGNADO REGIONAL META</v>
          </cell>
          <cell r="C56">
            <v>10000000</v>
          </cell>
        </row>
        <row r="57">
          <cell r="A57">
            <v>213608003000005</v>
          </cell>
          <cell r="B57" t="str">
            <v>MANTENIMIENTO PREVENTIVO Y CORRECTIVO DE VEHICULOS DE RESCATE SEI - SAR.</v>
          </cell>
          <cell r="C57">
            <v>72000000</v>
          </cell>
        </row>
        <row r="58">
          <cell r="B58" t="str">
            <v>NIVEL CENTRAL</v>
          </cell>
          <cell r="C58">
            <v>30000000</v>
          </cell>
        </row>
        <row r="59">
          <cell r="B59" t="str">
            <v>ASIGNADO REGIONAL CUNDINAMARCA</v>
          </cell>
          <cell r="C59">
            <v>2000000</v>
          </cell>
        </row>
        <row r="60">
          <cell r="B60" t="str">
            <v>ASIGNADO REGIONAL ANTIOQUIA</v>
          </cell>
          <cell r="C60">
            <v>2000000</v>
          </cell>
        </row>
        <row r="61">
          <cell r="B61" t="str">
            <v>ASIGNADO REGIONAL ATLANTICO</v>
          </cell>
          <cell r="C61">
            <v>6000000</v>
          </cell>
        </row>
        <row r="62">
          <cell r="B62" t="str">
            <v>ASIGNADO REGIONAL VALLE</v>
          </cell>
          <cell r="C62">
            <v>15000000</v>
          </cell>
        </row>
        <row r="63">
          <cell r="B63" t="str">
            <v>ASIGNADO REGIONAL NORTE DE SAN</v>
          </cell>
          <cell r="C63">
            <v>12000000</v>
          </cell>
        </row>
        <row r="64">
          <cell r="B64" t="str">
            <v>ASIGNADO REGIONAL META</v>
          </cell>
          <cell r="C64">
            <v>5000000</v>
          </cell>
        </row>
        <row r="65">
          <cell r="A65">
            <v>213608003000006</v>
          </cell>
          <cell r="B65" t="str">
            <v>GASTOS OPERATIVOS</v>
          </cell>
          <cell r="C65">
            <v>626000000</v>
          </cell>
        </row>
        <row r="66">
          <cell r="A66">
            <v>2136080030000060</v>
          </cell>
          <cell r="B66" t="str">
            <v>GASTOS GENERALES</v>
          </cell>
          <cell r="C66">
            <v>626000000</v>
          </cell>
        </row>
        <row r="67">
          <cell r="A67">
            <v>2.13608003000006E+16</v>
          </cell>
          <cell r="B67" t="str">
            <v>ADQUISICION DE COMBUSTIBLES Y LUBRICANTES SEI-SAR.</v>
          </cell>
          <cell r="C67">
            <v>326000000</v>
          </cell>
        </row>
        <row r="68">
          <cell r="B68" t="str">
            <v>NIVEL CENTRAL</v>
          </cell>
          <cell r="C68">
            <v>20000000</v>
          </cell>
        </row>
        <row r="69">
          <cell r="B69" t="str">
            <v>ASIGNADO REGIONAL CUNDINAMARCA</v>
          </cell>
          <cell r="C69">
            <v>65000000</v>
          </cell>
        </row>
        <row r="70">
          <cell r="B70" t="str">
            <v>ASIGNADO REGIONAL ANTIOQUIA</v>
          </cell>
          <cell r="C70">
            <v>1000000</v>
          </cell>
        </row>
        <row r="71">
          <cell r="B71" t="str">
            <v>ASIGNADO REGIONAL ATLANTICO</v>
          </cell>
          <cell r="C71">
            <v>50000000</v>
          </cell>
        </row>
        <row r="72">
          <cell r="B72" t="str">
            <v>ASIGNADO REGIONAL VALLE</v>
          </cell>
          <cell r="C72">
            <v>90000000</v>
          </cell>
        </row>
        <row r="73">
          <cell r="B73" t="str">
            <v>ASIGNADO REGIONAL NORTE DE SAN</v>
          </cell>
          <cell r="C73">
            <v>50000000</v>
          </cell>
        </row>
        <row r="74">
          <cell r="B74" t="str">
            <v>ASIGNADO REGIONAL META</v>
          </cell>
          <cell r="C74">
            <v>50000000</v>
          </cell>
        </row>
        <row r="75">
          <cell r="A75">
            <v>2.13608003000006E+16</v>
          </cell>
          <cell r="B75" t="str">
            <v>RENOVACION DE LLANTAS PARA LAS MAQUINAS CONTRA INCENDIOS Y CARROS DE RESCATE.</v>
          </cell>
          <cell r="C75">
            <v>300000000</v>
          </cell>
        </row>
        <row r="76">
          <cell r="B76" t="str">
            <v>NIVEL CENTRAL</v>
          </cell>
          <cell r="C76">
            <v>300000000</v>
          </cell>
        </row>
        <row r="77">
          <cell r="A77">
            <v>213608003000007</v>
          </cell>
          <cell r="B77" t="str">
            <v>MANTENIMIENTO PREVENTIVO Y CORRECTIVO DE EQUIPOS SEI-SAR (INCLUYE REPUESTOS).</v>
          </cell>
          <cell r="C77">
            <v>560000000</v>
          </cell>
        </row>
        <row r="78">
          <cell r="B78" t="str">
            <v>NIVEL CENTRAL</v>
          </cell>
          <cell r="C78">
            <v>560000000</v>
          </cell>
        </row>
        <row r="79">
          <cell r="A79">
            <v>213608003000009</v>
          </cell>
          <cell r="B79" t="str">
            <v>MANTENIMIENTO MAQUINAS DE BOMBEROS DE GRAN CAPACIDAD.</v>
          </cell>
          <cell r="C79">
            <v>1567000000</v>
          </cell>
        </row>
        <row r="80">
          <cell r="B80" t="str">
            <v>NIVEL CENTRAL</v>
          </cell>
          <cell r="C80">
            <v>1567000000</v>
          </cell>
        </row>
        <row r="81">
          <cell r="A81">
            <v>213608003000010</v>
          </cell>
          <cell r="B81" t="str">
            <v>MANTENIMIENTO PREVENTIVO Y CORRECTIVO PARA LAS MAQUINAS DE BOMBEROS INTERVENCION RAPIDA.</v>
          </cell>
          <cell r="C81">
            <v>100000000</v>
          </cell>
        </row>
        <row r="82">
          <cell r="B82" t="str">
            <v>NIVEL CENTRAL</v>
          </cell>
          <cell r="C82">
            <v>100000000</v>
          </cell>
        </row>
        <row r="83">
          <cell r="A83">
            <v>213608004</v>
          </cell>
          <cell r="B83" t="str">
            <v>ADQUISICION SERVICIO RED INTEGRADA DE MICROONDAS, CANALES TELEFONICOS Y TELEGRAFICOS NIVEL NACIONAL.</v>
          </cell>
          <cell r="C83">
            <v>5739240000</v>
          </cell>
        </row>
        <row r="84">
          <cell r="A84">
            <v>213608004000001</v>
          </cell>
          <cell r="B84" t="str">
            <v>PRESTACION DEL SERVICIO DE COMUNICACIONES POR MICROONDAS, FIBRA OPTICA O SATELITES A NIVEL NACIONAL E INTERNACIONAL.</v>
          </cell>
          <cell r="C84">
            <v>5089240000</v>
          </cell>
        </row>
        <row r="85">
          <cell r="B85" t="str">
            <v>NIVEL CENTRAL</v>
          </cell>
          <cell r="C85">
            <v>5089240000</v>
          </cell>
        </row>
        <row r="86">
          <cell r="A86">
            <v>213608004000003</v>
          </cell>
          <cell r="B86" t="str">
            <v>UTILIZACION SEGMENTO ESPACIAL PARA EL ESTABLECIMIENTO DE UNA RED MEDIANTE ESTACIONES TERRENAS DE LA UAEAC.</v>
          </cell>
          <cell r="C86">
            <v>500000000</v>
          </cell>
        </row>
        <row r="87">
          <cell r="B87" t="str">
            <v>NIVEL CENTRAL</v>
          </cell>
          <cell r="C87">
            <v>500000000</v>
          </cell>
        </row>
        <row r="88">
          <cell r="A88">
            <v>213608004000004</v>
          </cell>
          <cell r="B88" t="str">
            <v>ADQUIRIR EL SERVICIO DE ASISTENCIA DURANTE EL PROCESO DE ADQUISICION, INSTALACION Y PUESTA EN FUNCIONAMIENTO Y GESTION DE UNA RED (DIG) DIGITAL EN SURAMERICA</v>
          </cell>
          <cell r="C88">
            <v>80000000</v>
          </cell>
        </row>
        <row r="89">
          <cell r="B89" t="str">
            <v>NIVEL CENTRAL</v>
          </cell>
          <cell r="C89">
            <v>80000000</v>
          </cell>
        </row>
        <row r="90">
          <cell r="A90">
            <v>213608004000005</v>
          </cell>
          <cell r="B90" t="str">
            <v>PAGO MINISTERIO DE COMUNICACIONES</v>
          </cell>
          <cell r="C90">
            <v>70000000</v>
          </cell>
        </row>
        <row r="91">
          <cell r="B91" t="str">
            <v>NIVEL CENTRAL</v>
          </cell>
          <cell r="C91">
            <v>70000000</v>
          </cell>
        </row>
        <row r="92">
          <cell r="A92">
            <v>213608005</v>
          </cell>
          <cell r="B92" t="str">
            <v>ADQUISICION DE EQUIPOS Y SISTEMAS PARA LA RED METEOROLOGICA AERONAUTICA.</v>
          </cell>
          <cell r="C92">
            <v>10745000000</v>
          </cell>
        </row>
        <row r="93">
          <cell r="A93">
            <v>213608005000</v>
          </cell>
          <cell r="B93" t="str">
            <v>SUBPROYECTO</v>
          </cell>
          <cell r="C93" t="e">
            <v>#VALUE!</v>
          </cell>
        </row>
        <row r="94">
          <cell r="A94">
            <v>213608005000006</v>
          </cell>
          <cell r="B94" t="str">
            <v>ADQUISICION, INSTALACION Y PUESTA EN FUNCIONAMIENTO DETECTOR DE CIZALLADURA DE VIENTO, INCLUYE OBRAS CIVILES.</v>
          </cell>
          <cell r="C94">
            <v>2500000000</v>
          </cell>
        </row>
        <row r="95">
          <cell r="B95" t="str">
            <v>AEROPUERTO CUCUTA</v>
          </cell>
          <cell r="C95">
            <v>2500000000</v>
          </cell>
        </row>
        <row r="96">
          <cell r="A96">
            <v>213608005000010</v>
          </cell>
          <cell r="B96" t="str">
            <v>ADQUISICIÓN DE EQUIPOS, SOFTWARE PARA LA IMPLEMENTACIÓN DE LA INTEGRACIÓN DE LA INFORMACIÓN METEOROLÓGICA  POR AEROPUERTO</v>
          </cell>
          <cell r="C96">
            <v>8245000000</v>
          </cell>
        </row>
        <row r="97">
          <cell r="B97" t="str">
            <v>NIVEL CENTRAL</v>
          </cell>
          <cell r="C97">
            <v>2400000000</v>
          </cell>
        </row>
        <row r="98">
          <cell r="B98" t="str">
            <v>AEROPUERTO NEIVA</v>
          </cell>
          <cell r="C98">
            <v>730625000</v>
          </cell>
        </row>
        <row r="99">
          <cell r="B99" t="str">
            <v>AEROPUERTO FLORENCIA</v>
          </cell>
          <cell r="C99">
            <v>730625000</v>
          </cell>
        </row>
        <row r="100">
          <cell r="B100" t="str">
            <v>AEROPUERTO MONTERIA</v>
          </cell>
          <cell r="C100">
            <v>730625000</v>
          </cell>
        </row>
        <row r="101">
          <cell r="B101" t="str">
            <v>AEROPUERTO QUIBDO</v>
          </cell>
          <cell r="C101">
            <v>730625000</v>
          </cell>
        </row>
        <row r="102">
          <cell r="B102" t="str">
            <v>AEROPUERTO IPIALES</v>
          </cell>
          <cell r="C102">
            <v>730625000</v>
          </cell>
        </row>
        <row r="103">
          <cell r="B103" t="str">
            <v>AEROPUERTO TUMACO</v>
          </cell>
          <cell r="C103">
            <v>730625000</v>
          </cell>
        </row>
        <row r="104">
          <cell r="B104" t="str">
            <v>AEROPUERTO CUCUTA</v>
          </cell>
          <cell r="C104">
            <v>1461250000</v>
          </cell>
        </row>
        <row r="105">
          <cell r="A105">
            <v>213608006</v>
          </cell>
          <cell r="B105" t="str">
            <v>ADQUISICION DE EQUIPOS PARA REDES DE TELECOMUNICACIONES.</v>
          </cell>
          <cell r="C105">
            <v>25000000000</v>
          </cell>
        </row>
        <row r="106">
          <cell r="A106">
            <v>213608006000</v>
          </cell>
          <cell r="B106" t="str">
            <v>SUBPROYECTO</v>
          </cell>
          <cell r="C106" t="e">
            <v>#VALUE!</v>
          </cell>
        </row>
        <row r="107">
          <cell r="A107">
            <v>213608006000002</v>
          </cell>
          <cell r="B107" t="str">
            <v>ADQUISICION DE EQUIPOS PARA COMUNICACIONES DE TORRES Y CENTROS DE CONTROL.</v>
          </cell>
          <cell r="C107">
            <v>3060000000</v>
          </cell>
        </row>
        <row r="108">
          <cell r="A108">
            <v>213608006000003</v>
          </cell>
          <cell r="B108" t="str">
            <v>ADQUISICION, INSTALACION Y PUESTA EN SERVICIO DE LOS SISTEMAS DE GRABACION MULTICANAL PARA ATC</v>
          </cell>
          <cell r="C108">
            <v>113000000</v>
          </cell>
        </row>
        <row r="109">
          <cell r="A109">
            <v>213608006000004</v>
          </cell>
          <cell r="B109" t="str">
            <v>ADQUISICION, INSTALACION, CALIBRACIÓN, PRUEBAS Y PUESTA EN FUNCIONAMIENTO DE LOS EQUIPOS Y ANTENAS PARA LA RENOVACION DE LA RED DE COMUNICACIONES SATELITAL.</v>
          </cell>
          <cell r="C109">
            <v>7700000000</v>
          </cell>
        </row>
        <row r="110">
          <cell r="A110">
            <v>213608006000007</v>
          </cell>
          <cell r="B110" t="str">
            <v>ADQUISICION, INSTALACION, CALIBRACIÓN, PRUEBAS Y PUESTA EN SERVICIO DE EQUIPOS PARA AMPLIAR LOS SISTEMAS VHF ER (ALCANCE EXTENDIDO) PARA CONTROL TERMINAL AEREA.</v>
          </cell>
          <cell r="C110">
            <v>11000000000</v>
          </cell>
        </row>
        <row r="111">
          <cell r="A111">
            <v>213608006000008</v>
          </cell>
          <cell r="B111" t="str">
            <v>ADQUISICION, INSTALACION Y PUESTA EN SERVICIO, CALIBRACION Y PRUEBA DE EQUIPOS PARA LA RED DE COMUNICACIONES MOVILES.</v>
          </cell>
          <cell r="C111">
            <v>3127000000</v>
          </cell>
        </row>
        <row r="112">
          <cell r="A112">
            <v>213608007</v>
          </cell>
          <cell r="B112" t="str">
            <v>MANTENIMIENTO Y CONSERVACION DE EQUIPOS Y SISTEMAS AEROPORTUARIOS A NIVEL NACIONAL.</v>
          </cell>
          <cell r="C112">
            <v>2189000000</v>
          </cell>
        </row>
        <row r="113">
          <cell r="A113">
            <v>213608007000001</v>
          </cell>
          <cell r="B113" t="str">
            <v>MANTENIMIENTO CORRECTIVO Y PREVENTIVO ESCALERAS ELECTRICAS.</v>
          </cell>
          <cell r="C113">
            <v>15000000</v>
          </cell>
        </row>
        <row r="114">
          <cell r="B114" t="str">
            <v>ASIGNADO REGIONAL CUNDINAMARCA</v>
          </cell>
          <cell r="C114">
            <v>15000000</v>
          </cell>
        </row>
        <row r="115">
          <cell r="A115">
            <v>213608007000002</v>
          </cell>
          <cell r="B115" t="str">
            <v>MANTENIMIENTO PREVENTIVO Y CORRECTIVO DE ASCENSORES TORRES DE CONTROL Y MINUSVALIDO.</v>
          </cell>
          <cell r="C115">
            <v>15000000</v>
          </cell>
        </row>
        <row r="116">
          <cell r="B116" t="str">
            <v>ASIGNADO REGIONAL VALLE</v>
          </cell>
          <cell r="C116">
            <v>15000000</v>
          </cell>
        </row>
        <row r="117">
          <cell r="A117">
            <v>213608007000003</v>
          </cell>
          <cell r="B117" t="str">
            <v>MANTENIMIENTO PREVENTIVO Y CORRECTIVO DE EQUIPOS PARA LOS SISTEMAS AEROPORTUARIOS.</v>
          </cell>
          <cell r="C117">
            <v>820000000</v>
          </cell>
        </row>
        <row r="118">
          <cell r="B118" t="str">
            <v>ASIGNADO REGIONAL CUNDINAMARCA</v>
          </cell>
          <cell r="C118">
            <v>50000000</v>
          </cell>
        </row>
        <row r="119">
          <cell r="B119" t="str">
            <v>ASIGNADO REGIONAL ANTIOQUIA</v>
          </cell>
          <cell r="C119">
            <v>40000000</v>
          </cell>
        </row>
        <row r="120">
          <cell r="B120" t="str">
            <v>ASIGNADO REGIONAL ATLANTICO</v>
          </cell>
          <cell r="C120">
            <v>270000000</v>
          </cell>
        </row>
        <row r="121">
          <cell r="B121" t="str">
            <v>ASIGNADO REGIONAL VALLE</v>
          </cell>
          <cell r="C121">
            <v>200000000</v>
          </cell>
        </row>
        <row r="122">
          <cell r="B122" t="str">
            <v>ASIGNADO REGIONAL NORTE DE SAN</v>
          </cell>
          <cell r="C122">
            <v>150000000</v>
          </cell>
        </row>
        <row r="123">
          <cell r="B123" t="str">
            <v>ASIGNADO REGIONAL META</v>
          </cell>
          <cell r="C123">
            <v>110000000</v>
          </cell>
        </row>
        <row r="124">
          <cell r="A124">
            <v>213608007000004</v>
          </cell>
          <cell r="B124" t="str">
            <v>BOMBILLERIA AREAS PUBLICAS AEROPUERTO ASOCIADOS CON LA OPERACION AEREA.</v>
          </cell>
          <cell r="C124">
            <v>260000000</v>
          </cell>
        </row>
        <row r="125">
          <cell r="B125" t="str">
            <v>ASIGNADO REGIONAL CUNDINAMARCA</v>
          </cell>
          <cell r="C125">
            <v>120000000</v>
          </cell>
        </row>
        <row r="126">
          <cell r="B126" t="str">
            <v>ASIGNADO REGIONAL ANTIOQUIA</v>
          </cell>
          <cell r="C126">
            <v>40000000</v>
          </cell>
        </row>
        <row r="127">
          <cell r="B127" t="str">
            <v>ASIGNADO REGIONAL ATLANTICO</v>
          </cell>
          <cell r="C127">
            <v>30000000</v>
          </cell>
        </row>
        <row r="128">
          <cell r="B128" t="str">
            <v>ASIGNADO REGIONAL VALLE</v>
          </cell>
          <cell r="C128">
            <v>50000000</v>
          </cell>
        </row>
        <row r="129">
          <cell r="B129" t="str">
            <v>ASIGNADO REGIONAL META</v>
          </cell>
          <cell r="C129">
            <v>20000000</v>
          </cell>
        </row>
        <row r="130">
          <cell r="A130">
            <v>213608007000005</v>
          </cell>
          <cell r="B130" t="str">
            <v>REPUESTOS PARA EL MANTENIMIENTO MECANICO (MONTA-CARGAS, BANDAS DE EQUIPAJES, MONOPLANARES, MESA DE AFORO, BOMBAS SUMERGIBLES, BOMBAS DE GASOLINA, ETC.)</v>
          </cell>
          <cell r="C130">
            <v>80000000</v>
          </cell>
        </row>
        <row r="131">
          <cell r="B131" t="str">
            <v>ASIGNADO REGIONAL CUNDINAMARCA</v>
          </cell>
          <cell r="C131">
            <v>20000000</v>
          </cell>
        </row>
        <row r="132">
          <cell r="B132" t="str">
            <v>ASIGNADO REGIONAL NORTE DE SAN</v>
          </cell>
          <cell r="C132">
            <v>40000000</v>
          </cell>
        </row>
        <row r="133">
          <cell r="B133" t="str">
            <v>ASIGNADO REGIONAL META</v>
          </cell>
          <cell r="C133">
            <v>20000000</v>
          </cell>
        </row>
        <row r="134">
          <cell r="A134">
            <v>213608007000006</v>
          </cell>
          <cell r="B134" t="str">
            <v>GASTOS OPERATIVOS.</v>
          </cell>
          <cell r="C134">
            <v>375000000</v>
          </cell>
        </row>
        <row r="135">
          <cell r="A135">
            <v>2136080070000060</v>
          </cell>
          <cell r="B135" t="str">
            <v>GASTOS GENERALES</v>
          </cell>
          <cell r="C135">
            <v>375000000</v>
          </cell>
        </row>
        <row r="136">
          <cell r="A136">
            <v>2.13608007000006E+16</v>
          </cell>
          <cell r="B136" t="str">
            <v>ADQUISICION MATERIALES E INSUMOS AEROPORTUARIOS.</v>
          </cell>
          <cell r="C136">
            <v>375000000</v>
          </cell>
        </row>
        <row r="137">
          <cell r="B137" t="str">
            <v>ASIGNADO REGIONAL CUNDINAMARCA</v>
          </cell>
          <cell r="C137">
            <v>120000000</v>
          </cell>
        </row>
        <row r="138">
          <cell r="B138" t="str">
            <v>ASIGNADO REGIONAL ANTIOQUIA</v>
          </cell>
          <cell r="C138">
            <v>50000000</v>
          </cell>
        </row>
        <row r="139">
          <cell r="B139" t="str">
            <v>ASIGNADO REGIONAL ATLANTICO</v>
          </cell>
          <cell r="C139">
            <v>40000000</v>
          </cell>
        </row>
        <row r="140">
          <cell r="B140" t="str">
            <v>ASIGNADO REGIONAL VALLE</v>
          </cell>
          <cell r="C140">
            <v>60000000</v>
          </cell>
        </row>
        <row r="141">
          <cell r="B141" t="str">
            <v>ASIGNADO REGIONAL NORTE DE SAN</v>
          </cell>
          <cell r="C141">
            <v>20000000</v>
          </cell>
        </row>
        <row r="142">
          <cell r="B142" t="str">
            <v>ASIGNADO REGIONAL META</v>
          </cell>
          <cell r="C142">
            <v>85000000</v>
          </cell>
        </row>
        <row r="143">
          <cell r="A143">
            <v>213608007000007</v>
          </cell>
          <cell r="B143" t="str">
            <v>MANTENIMIENTO EQUIPOS HIDRONEUMATICOS</v>
          </cell>
          <cell r="C143">
            <v>80000000</v>
          </cell>
        </row>
        <row r="144">
          <cell r="B144" t="str">
            <v>ASIGNADO REGIONAL CUNDINAMARCA</v>
          </cell>
          <cell r="C144">
            <v>80000000</v>
          </cell>
        </row>
        <row r="145">
          <cell r="A145">
            <v>213608007000009</v>
          </cell>
          <cell r="B145" t="str">
            <v>ADQUISICION DE HERRAMIENTAS, ELEMENTOS Y MATERIALES PARA MANTENIMIENTO DE EQUIPOS Y SISTEMAS MECANICOS.</v>
          </cell>
          <cell r="C145">
            <v>110000000</v>
          </cell>
        </row>
        <row r="146">
          <cell r="B146" t="str">
            <v>ASIGNADO REGIONAL ANTIOQUIA</v>
          </cell>
          <cell r="C146">
            <v>25000000</v>
          </cell>
        </row>
        <row r="147">
          <cell r="B147" t="str">
            <v>ASIGNADO REGIONAL ATLANTICO</v>
          </cell>
          <cell r="C147">
            <v>15000000</v>
          </cell>
        </row>
        <row r="148">
          <cell r="B148" t="str">
            <v>ASIGNADO REGIONAL VALLE</v>
          </cell>
          <cell r="C148">
            <v>20000000</v>
          </cell>
        </row>
        <row r="149">
          <cell r="B149" t="str">
            <v>ASIGNADO REGIONAL META</v>
          </cell>
          <cell r="C149">
            <v>50000000</v>
          </cell>
        </row>
        <row r="150">
          <cell r="A150">
            <v>213608007000010</v>
          </cell>
          <cell r="B150" t="str">
            <v>ADQUISICION DE HERRAMIENTAS, ELEMENTOS FUNGIBLES, ACCESORIOS Y MATERIALES PARA EL MANTENIMIENTO DE EQUIPOS Y SISTEMAS ELECTRICOS.</v>
          </cell>
          <cell r="C150">
            <v>434000000</v>
          </cell>
        </row>
        <row r="151">
          <cell r="B151" t="str">
            <v>ASIGNADO REGIONAL CUNDINAMARCA</v>
          </cell>
          <cell r="C151">
            <v>50000000</v>
          </cell>
        </row>
        <row r="152">
          <cell r="B152" t="str">
            <v>ASIGNADO REGIONAL ANTIOQUIA</v>
          </cell>
          <cell r="C152">
            <v>80000000</v>
          </cell>
        </row>
        <row r="153">
          <cell r="B153" t="str">
            <v>ASIGNADO REGIONAL VALLE</v>
          </cell>
          <cell r="C153">
            <v>204000000</v>
          </cell>
        </row>
        <row r="154">
          <cell r="B154" t="str">
            <v>ASIGNADO REGIONAL META</v>
          </cell>
          <cell r="C154">
            <v>100000000</v>
          </cell>
        </row>
        <row r="155">
          <cell r="A155">
            <v>213608008</v>
          </cell>
          <cell r="B155" t="str">
            <v>ADQUISICION Y RENOVACION DE EQUIPOS Y ELEMENTOS PARA LA SEGURIDAD EN AEROPUERTOS.</v>
          </cell>
          <cell r="C155">
            <v>1800000000</v>
          </cell>
        </row>
        <row r="156">
          <cell r="A156">
            <v>213608008000006</v>
          </cell>
          <cell r="B156" t="str">
            <v>ADQUISICION, INSTALACION Y PUESTA EN FUNCIONAMIENTO DE CIRCUITOS CERRADOS DE TELEVISION Y GRABADORAS DIGITALES DE VIDEO.</v>
          </cell>
          <cell r="C156">
            <v>1800000000</v>
          </cell>
        </row>
        <row r="157">
          <cell r="B157" t="str">
            <v>NIVEL CENTRAL</v>
          </cell>
          <cell r="C157">
            <v>1000000000</v>
          </cell>
        </row>
        <row r="158">
          <cell r="B158" t="str">
            <v>AEROPUERTO ARAUCA</v>
          </cell>
          <cell r="C158">
            <v>800000000</v>
          </cell>
        </row>
        <row r="159">
          <cell r="A159">
            <v>213608009</v>
          </cell>
          <cell r="B159" t="str">
            <v>AMPLIACION RED DE RADARES A NIVEL NACIONAL</v>
          </cell>
          <cell r="C159">
            <v>21000000000</v>
          </cell>
        </row>
        <row r="160">
          <cell r="A160">
            <v>213608009000001</v>
          </cell>
          <cell r="B160" t="str">
            <v>ADQUISICION, INSTALACION Y PUESTA EN SERVICIO SALAS RADAR (INCLUYE OBRAS CIVILES).</v>
          </cell>
          <cell r="C160">
            <v>21000000000</v>
          </cell>
        </row>
        <row r="161">
          <cell r="B161" t="str">
            <v>AEROPUERTO LETICIA</v>
          </cell>
          <cell r="C161">
            <v>10500000000</v>
          </cell>
        </row>
        <row r="162">
          <cell r="B162" t="str">
            <v>ESTACION CARIMAGUA</v>
          </cell>
          <cell r="C162">
            <v>10500000000</v>
          </cell>
        </row>
        <row r="163">
          <cell r="A163">
            <v>213608010</v>
          </cell>
          <cell r="B163" t="str">
            <v>MANTENIMIENTO Y CONSERVACION DEL SISTEMA DE TELECOMUNICACIONES Y AYUDAS A LA NAVEGACION AEREA A NIVEL NACIONAL</v>
          </cell>
          <cell r="C163">
            <v>13650000000</v>
          </cell>
        </row>
        <row r="164">
          <cell r="A164">
            <v>213608010000001</v>
          </cell>
          <cell r="B164" t="str">
            <v>MANTENIMIENTO, CONSERVACION Y ACTUALIZACION DE LOS SISTEMAS DE RADAR.</v>
          </cell>
          <cell r="C164">
            <v>2138000000</v>
          </cell>
        </row>
        <row r="165">
          <cell r="B165" t="str">
            <v>NIVEL CENTRAL</v>
          </cell>
          <cell r="C165">
            <v>1388000000</v>
          </cell>
        </row>
        <row r="166">
          <cell r="B166" t="str">
            <v>ASIGNADO REGIONAL CUNDINAMARCA</v>
          </cell>
          <cell r="C166">
            <v>280000000</v>
          </cell>
        </row>
        <row r="167">
          <cell r="B167" t="str">
            <v>ASIGNADO REGIONAL ANTIOQUIA</v>
          </cell>
          <cell r="C167">
            <v>50000000</v>
          </cell>
        </row>
        <row r="168">
          <cell r="B168" t="str">
            <v>ASIGNADO REGIONAL ATLANTICO</v>
          </cell>
          <cell r="C168">
            <v>140000000</v>
          </cell>
        </row>
        <row r="169">
          <cell r="B169" t="str">
            <v>ASIGNADO REGIONAL VALLE</v>
          </cell>
          <cell r="C169">
            <v>70000000</v>
          </cell>
        </row>
        <row r="170">
          <cell r="B170" t="str">
            <v>ASIGNADO REGIONAL NORTE DE SAN</v>
          </cell>
          <cell r="C170">
            <v>200000000</v>
          </cell>
        </row>
        <row r="171">
          <cell r="B171" t="str">
            <v>ASIGNADO REGIONAL META</v>
          </cell>
          <cell r="C171">
            <v>10000000</v>
          </cell>
        </row>
        <row r="172">
          <cell r="A172">
            <v>213608010000002</v>
          </cell>
          <cell r="B172" t="str">
            <v>MANTENIMIENTO, CONSERVACION Y ACTUALIZACION DE LOS SISTEMAS DE COMUNICACIONES.</v>
          </cell>
          <cell r="C172">
            <v>1320000000</v>
          </cell>
        </row>
        <row r="173">
          <cell r="B173" t="str">
            <v>ASIGNADO REGIONAL CUNDINAMARCA</v>
          </cell>
          <cell r="C173">
            <v>250000000</v>
          </cell>
        </row>
        <row r="174">
          <cell r="B174" t="str">
            <v>ASIGNADO REGIONAL ANTIOQUIA</v>
          </cell>
          <cell r="C174">
            <v>100000000</v>
          </cell>
        </row>
        <row r="175">
          <cell r="B175" t="str">
            <v>ASIGNADO REGIONAL ATLANTICO</v>
          </cell>
          <cell r="C175">
            <v>150000000</v>
          </cell>
        </row>
        <row r="176">
          <cell r="B176" t="str">
            <v>ASIGNADO REGIONAL VALLE</v>
          </cell>
          <cell r="C176">
            <v>80000000</v>
          </cell>
        </row>
        <row r="177">
          <cell r="B177" t="str">
            <v>AEROPUERTO PEREIRA</v>
          </cell>
          <cell r="C177">
            <v>310000000</v>
          </cell>
        </row>
        <row r="178">
          <cell r="B178" t="str">
            <v>ASIGNADO REGIONAL NORTE DE SAN</v>
          </cell>
          <cell r="C178">
            <v>400000000</v>
          </cell>
        </row>
        <row r="179">
          <cell r="B179" t="str">
            <v>ASIGNADO REGIONAL META</v>
          </cell>
          <cell r="C179">
            <v>30000000</v>
          </cell>
        </row>
        <row r="180">
          <cell r="A180">
            <v>213608010000003</v>
          </cell>
          <cell r="B180" t="str">
            <v>MANTENIMIENTO, CONSERVACION Y ACTUALIZACION DE LOS SISTEMAS DE RADIOAYUDAS.</v>
          </cell>
          <cell r="C180">
            <v>985000000</v>
          </cell>
        </row>
        <row r="181">
          <cell r="B181" t="str">
            <v>NIVEL CENTRAL</v>
          </cell>
          <cell r="C181">
            <v>190000000</v>
          </cell>
        </row>
        <row r="182">
          <cell r="B182" t="str">
            <v>ASIGNADO REGIONAL CUNDINAMARCA</v>
          </cell>
          <cell r="C182">
            <v>250000000</v>
          </cell>
        </row>
        <row r="183">
          <cell r="B183" t="str">
            <v>ASIGNADO REGIONAL ANTIOQUIA</v>
          </cell>
          <cell r="C183">
            <v>100000000</v>
          </cell>
        </row>
        <row r="184">
          <cell r="B184" t="str">
            <v>ASIGNADO REGIONAL ATLANTICO</v>
          </cell>
          <cell r="C184">
            <v>150000000</v>
          </cell>
        </row>
        <row r="185">
          <cell r="B185" t="str">
            <v>ASIGNADO REGIONAL VALLE</v>
          </cell>
          <cell r="C185">
            <v>115000000</v>
          </cell>
        </row>
        <row r="186">
          <cell r="B186" t="str">
            <v>ASIGNADO REGIONAL NORTE DE SAN</v>
          </cell>
          <cell r="C186">
            <v>130000000</v>
          </cell>
        </row>
        <row r="187">
          <cell r="B187" t="str">
            <v>ASIGNADO REGIONAL META</v>
          </cell>
          <cell r="C187">
            <v>50000000</v>
          </cell>
        </row>
        <row r="188">
          <cell r="A188">
            <v>213608010000004</v>
          </cell>
          <cell r="B188" t="str">
            <v>MANTENIMIENTO, CONSERVACION Y ACTUALIZACION DE LOS SISTEMAS DE ENERGIA Y SISTEMAS COMPLEMENTARIOS.</v>
          </cell>
          <cell r="C188">
            <v>3595000000</v>
          </cell>
        </row>
        <row r="189">
          <cell r="B189" t="str">
            <v>NIVEL CENTRAL</v>
          </cell>
          <cell r="C189">
            <v>1800000000</v>
          </cell>
        </row>
        <row r="190">
          <cell r="B190" t="str">
            <v>ASIGNADO REGIONAL CUNDINAMARCA</v>
          </cell>
          <cell r="C190">
            <v>340000000</v>
          </cell>
        </row>
        <row r="191">
          <cell r="B191" t="str">
            <v>ASIGNADO REGIONAL ANTIOQUIA</v>
          </cell>
          <cell r="C191">
            <v>200000000</v>
          </cell>
        </row>
        <row r="192">
          <cell r="B192" t="str">
            <v>ASIGNADO REGIONAL ATLANTICO</v>
          </cell>
          <cell r="C192">
            <v>235000000</v>
          </cell>
        </row>
        <row r="193">
          <cell r="B193" t="str">
            <v>ASIGNADO REGIONAL VALLE</v>
          </cell>
          <cell r="C193">
            <v>220000000</v>
          </cell>
        </row>
        <row r="194">
          <cell r="B194" t="str">
            <v>ASIGNADO REGIONAL NORTE DE SAN</v>
          </cell>
          <cell r="C194">
            <v>550000000</v>
          </cell>
        </row>
        <row r="195">
          <cell r="B195" t="str">
            <v>ASIGNADO REGIONAL META</v>
          </cell>
          <cell r="C195">
            <v>250000000</v>
          </cell>
        </row>
        <row r="196">
          <cell r="A196">
            <v>213608010000005</v>
          </cell>
          <cell r="B196" t="str">
            <v>GASTOS OPERATIVOS</v>
          </cell>
          <cell r="C196">
            <v>3310000000</v>
          </cell>
        </row>
        <row r="197">
          <cell r="A197">
            <v>2136080100000050</v>
          </cell>
          <cell r="B197" t="str">
            <v>GASTOS GENERALES</v>
          </cell>
          <cell r="C197" t="e">
            <v>#VALUE!</v>
          </cell>
        </row>
        <row r="198">
          <cell r="A198">
            <v>2.13608010000005E+16</v>
          </cell>
          <cell r="B198" t="str">
            <v>MANTENIMIENTO DE VEHICULO.</v>
          </cell>
          <cell r="C198">
            <v>570000000</v>
          </cell>
        </row>
        <row r="199">
          <cell r="B199" t="str">
            <v>NIVEL CENTRAL</v>
          </cell>
          <cell r="C199">
            <v>30000000</v>
          </cell>
        </row>
        <row r="200">
          <cell r="B200" t="str">
            <v>ASIGNADO REGIONAL CUNDINAMARCA</v>
          </cell>
          <cell r="C200">
            <v>80000000</v>
          </cell>
        </row>
        <row r="201">
          <cell r="B201" t="str">
            <v>ASIGNADO REGIONAL ANTIOQUIA</v>
          </cell>
          <cell r="C201">
            <v>30000000</v>
          </cell>
        </row>
        <row r="202">
          <cell r="B202" t="str">
            <v>ASIGNADO REGIONAL ATLANTICO</v>
          </cell>
          <cell r="C202">
            <v>70000000</v>
          </cell>
        </row>
        <row r="203">
          <cell r="B203" t="str">
            <v>ASIGNADO REGIONAL VALLE</v>
          </cell>
          <cell r="C203">
            <v>260000000</v>
          </cell>
        </row>
        <row r="204">
          <cell r="B204" t="str">
            <v>ASIGNADO REGIONAL NORTE DE SAN</v>
          </cell>
          <cell r="C204">
            <v>60000000</v>
          </cell>
        </row>
        <row r="205">
          <cell r="B205" t="str">
            <v>ASIGNADO REGIONAL META</v>
          </cell>
          <cell r="C205">
            <v>40000000</v>
          </cell>
        </row>
        <row r="206">
          <cell r="A206">
            <v>2.13608010000005E+16</v>
          </cell>
          <cell r="B206" t="str">
            <v>ADQUISICION DE COMBUSTIBLE.</v>
          </cell>
          <cell r="C206">
            <v>2740000000</v>
          </cell>
        </row>
        <row r="207">
          <cell r="B207" t="str">
            <v>NIVEL CENTRAL</v>
          </cell>
          <cell r="C207">
            <v>30000000</v>
          </cell>
        </row>
        <row r="208">
          <cell r="B208" t="str">
            <v>ASIGNADO REGIONAL CUNDINAMARCA</v>
          </cell>
          <cell r="C208">
            <v>400000000</v>
          </cell>
        </row>
        <row r="209">
          <cell r="B209" t="str">
            <v>AEROPUERTO ARARACUARA</v>
          </cell>
          <cell r="C209">
            <v>360000000</v>
          </cell>
        </row>
        <row r="210">
          <cell r="B210" t="str">
            <v>ASIGNADO REGIONAL ANTIOQUIA</v>
          </cell>
          <cell r="C210">
            <v>110000000</v>
          </cell>
        </row>
        <row r="211">
          <cell r="B211" t="str">
            <v>ASIGNADO REGIONAL ATLANTICO</v>
          </cell>
          <cell r="C211">
            <v>450000000</v>
          </cell>
        </row>
        <row r="212">
          <cell r="B212" t="str">
            <v>ASIGNADO REGIONAL VALLE</v>
          </cell>
          <cell r="C212">
            <v>170000000</v>
          </cell>
        </row>
        <row r="213">
          <cell r="B213" t="str">
            <v>ESTACION SANTA  ANA</v>
          </cell>
          <cell r="C213">
            <v>210000000</v>
          </cell>
        </row>
        <row r="214">
          <cell r="B214" t="str">
            <v>ASIGNADO REGIONAL NORTE DE SAN</v>
          </cell>
          <cell r="C214">
            <v>90000000</v>
          </cell>
        </row>
        <row r="215">
          <cell r="B215" t="str">
            <v>ASIGNADO REGIONAL META</v>
          </cell>
          <cell r="C215">
            <v>320000000</v>
          </cell>
        </row>
        <row r="216">
          <cell r="B216" t="str">
            <v>ESTACION CARIMAGUA</v>
          </cell>
          <cell r="C216">
            <v>600000000</v>
          </cell>
        </row>
        <row r="217">
          <cell r="A217">
            <v>2.13608010000005E+16</v>
          </cell>
          <cell r="B217" t="str">
            <v>GASTOS DE TRANSPORTE DE EQUIPOS, REPUESTOS, ACCESORIOS  Y PERSONAL, NECESARIOS PARA REALIZAR LABORES DE MANTENIMIENTO Y/O INSTALACION DE SISTEMAS DE TELECOMUNICACIONES Y AYUDAS A LA NAVEGACION AEREA.</v>
          </cell>
          <cell r="C217">
            <v>307000000</v>
          </cell>
        </row>
        <row r="218">
          <cell r="B218" t="str">
            <v>ASIGNADO REGIONAL CUNDINAMARCA</v>
          </cell>
          <cell r="C218">
            <v>80000000</v>
          </cell>
        </row>
        <row r="219">
          <cell r="B219" t="str">
            <v>ASIGNADO REGIONAL ANTIOQUIA</v>
          </cell>
          <cell r="C219">
            <v>10000000</v>
          </cell>
        </row>
        <row r="220">
          <cell r="B220" t="str">
            <v>ASIGNADO REGIONAL VALLE</v>
          </cell>
          <cell r="C220">
            <v>145000000</v>
          </cell>
        </row>
        <row r="221">
          <cell r="B221" t="str">
            <v>ASIGNADO REGIONAL NORTE DE SAN</v>
          </cell>
          <cell r="C221">
            <v>22000000</v>
          </cell>
        </row>
        <row r="222">
          <cell r="B222" t="str">
            <v>ASIGNADO REGIONAL META</v>
          </cell>
          <cell r="C222">
            <v>50000000</v>
          </cell>
        </row>
        <row r="223">
          <cell r="A223">
            <v>2.13608010000005E+16</v>
          </cell>
          <cell r="B223" t="str">
            <v>ADQUISICION ELEMENTOS DE CONSUMO PARA IMPRESIÓN EN SISTEMAS F.D.P. Y TERMINALES I.A.T.</v>
          </cell>
          <cell r="C223">
            <v>20000000</v>
          </cell>
        </row>
        <row r="224">
          <cell r="B224" t="str">
            <v>ASIGNADO REGIONAL ATLANTICO</v>
          </cell>
          <cell r="C224">
            <v>20000000</v>
          </cell>
        </row>
        <row r="225">
          <cell r="A225">
            <v>213608010000007</v>
          </cell>
          <cell r="B225" t="str">
            <v>ADQUISICION E INSTALACION DE REPUESTO PARA EL MANTENIMIENTO DE LOS SISTEMAS DE TELECOMUNICACIONES Y COMPLEMENTARIOS.</v>
          </cell>
          <cell r="C225">
            <v>1335000000</v>
          </cell>
        </row>
        <row r="226">
          <cell r="B226" t="str">
            <v>ASIGNADO REGIONAL CUNDINAMARCA</v>
          </cell>
          <cell r="C226">
            <v>440000000</v>
          </cell>
        </row>
        <row r="227">
          <cell r="B227" t="str">
            <v>ASIGNADO REGIONAL ANTIOQUIA</v>
          </cell>
          <cell r="C227">
            <v>200000000</v>
          </cell>
        </row>
        <row r="228">
          <cell r="B228" t="str">
            <v>ASIGNADO REGIONAL ATLANTICO</v>
          </cell>
          <cell r="C228">
            <v>400000000</v>
          </cell>
        </row>
        <row r="229">
          <cell r="B229" t="str">
            <v>ASIGNADO REGIONAL VALLE</v>
          </cell>
          <cell r="C229">
            <v>215000000</v>
          </cell>
        </row>
        <row r="230">
          <cell r="B230" t="str">
            <v>ASIGNADO REGIONAL META</v>
          </cell>
          <cell r="C230">
            <v>80000000</v>
          </cell>
        </row>
        <row r="231">
          <cell r="A231">
            <v>213608010000010</v>
          </cell>
          <cell r="B231" t="str">
            <v>MANTENIMIENTO, CONSERVACIÓN Y ACTUALIZACIÓN DE LOS SISTEMAS DE METEOROLOGÍA</v>
          </cell>
          <cell r="C231">
            <v>640000000</v>
          </cell>
        </row>
        <row r="232">
          <cell r="B232" t="str">
            <v>ASIGNADO REGIONAL CUNDINAMARCA</v>
          </cell>
          <cell r="C232">
            <v>10000000</v>
          </cell>
        </row>
        <row r="233">
          <cell r="B233" t="str">
            <v>ASIGNADO REGIONAL ANTIOQUIA</v>
          </cell>
          <cell r="C233">
            <v>30000000</v>
          </cell>
        </row>
        <row r="234">
          <cell r="B234" t="str">
            <v>ASIGNADO REGIONAL ATLANTICO</v>
          </cell>
          <cell r="C234">
            <v>10000000</v>
          </cell>
        </row>
        <row r="235">
          <cell r="B235" t="str">
            <v>ASIGNADO REGIONAL VALLE</v>
          </cell>
          <cell r="C235">
            <v>20000000</v>
          </cell>
        </row>
        <row r="236">
          <cell r="B236" t="str">
            <v>AEROPUERTO PASTO</v>
          </cell>
          <cell r="C236">
            <v>450000000</v>
          </cell>
        </row>
        <row r="237">
          <cell r="B237" t="str">
            <v>ASIGNADO REGIONAL NORTE DE SAN</v>
          </cell>
          <cell r="C237">
            <v>120000000</v>
          </cell>
        </row>
        <row r="238">
          <cell r="A238">
            <v>213608011</v>
          </cell>
          <cell r="B238" t="str">
            <v>ADQUISICION DE EQUIPOS DEL PLAN NACIONAL DE AERONAVEGACION A NIVEL NACIONAL.</v>
          </cell>
          <cell r="C238">
            <v>22200000000</v>
          </cell>
        </row>
        <row r="239">
          <cell r="A239">
            <v>213608011000001</v>
          </cell>
          <cell r="B239" t="str">
            <v>ADQUISICION, INSTALACION Y PUESTA EN SERVICIO DE UN SISTEMA ILS.</v>
          </cell>
          <cell r="C239">
            <v>8100000000</v>
          </cell>
        </row>
        <row r="240">
          <cell r="B240" t="str">
            <v>AEROPUERTO ARMENIA</v>
          </cell>
          <cell r="C240">
            <v>5000000000</v>
          </cell>
        </row>
        <row r="241">
          <cell r="B241" t="str">
            <v>AEROPUERTO CUCUTA</v>
          </cell>
          <cell r="C241">
            <v>3100000000</v>
          </cell>
        </row>
        <row r="242">
          <cell r="A242">
            <v>213608011000002</v>
          </cell>
          <cell r="B242" t="str">
            <v>ADQUISICION, INSTALACION Y PUESTA EN SERVICIO DE UN DVOR/DME.</v>
          </cell>
          <cell r="C242">
            <v>10200000000</v>
          </cell>
        </row>
        <row r="243">
          <cell r="B243" t="str">
            <v>NIVEL CENTRAL</v>
          </cell>
          <cell r="C243">
            <v>700000000</v>
          </cell>
        </row>
        <row r="244">
          <cell r="B244" t="str">
            <v>AEROPUERTO NEIVA</v>
          </cell>
          <cell r="C244">
            <v>450000000</v>
          </cell>
        </row>
        <row r="245">
          <cell r="B245" t="str">
            <v>AEROPUERTO IBAGUE</v>
          </cell>
          <cell r="C245">
            <v>2500000000</v>
          </cell>
        </row>
        <row r="246">
          <cell r="B246" t="str">
            <v>AEROPUERTO PEREIRA</v>
          </cell>
          <cell r="C246">
            <v>2100000000</v>
          </cell>
        </row>
        <row r="247">
          <cell r="B247" t="str">
            <v>AEROPUERTO BUENAVENTURA</v>
          </cell>
          <cell r="C247">
            <v>2300000000</v>
          </cell>
        </row>
        <row r="248">
          <cell r="B248" t="str">
            <v>AEROPUERTO BUCARAMANGA</v>
          </cell>
          <cell r="C248">
            <v>2150000000</v>
          </cell>
        </row>
        <row r="249">
          <cell r="A249">
            <v>213608011000003</v>
          </cell>
          <cell r="B249" t="str">
            <v>ACTUALIZACION DE LOS SISTEMAS DE RADIOAYUDAS INSTALADOS A NIVEL NACIONAL (ILS,CVOR,DVOR, DME,NDB)</v>
          </cell>
          <cell r="C249">
            <v>3900000000</v>
          </cell>
        </row>
        <row r="250">
          <cell r="B250" t="str">
            <v>NIVEL CENTRAL</v>
          </cell>
          <cell r="C250">
            <v>2400000000</v>
          </cell>
        </row>
        <row r="251">
          <cell r="B251" t="str">
            <v>AEROPUERTO RIONEGRO</v>
          </cell>
          <cell r="C251">
            <v>300000000</v>
          </cell>
        </row>
        <row r="252">
          <cell r="B252" t="str">
            <v>AEROPUERTO BARRANQUILLA</v>
          </cell>
          <cell r="C252">
            <v>300000000</v>
          </cell>
        </row>
        <row r="253">
          <cell r="B253" t="str">
            <v>AEROPUERTO CALI</v>
          </cell>
          <cell r="C253">
            <v>300000000</v>
          </cell>
        </row>
        <row r="254">
          <cell r="B254" t="str">
            <v>AEROPUERTO CUCUTA</v>
          </cell>
          <cell r="C254">
            <v>300000000</v>
          </cell>
        </row>
        <row r="255">
          <cell r="B255" t="str">
            <v>AEROPUERTO VILLAVICENCIO</v>
          </cell>
          <cell r="C255">
            <v>300000000</v>
          </cell>
        </row>
        <row r="256">
          <cell r="A256">
            <v>213608012</v>
          </cell>
          <cell r="B256" t="str">
            <v>ADQUISICION EQUIPOS Y REPUESTOS PARA SISTEMAS AEROPORTUARIOS NIVEL NACIONAL.</v>
          </cell>
          <cell r="C256">
            <v>7000000000</v>
          </cell>
        </row>
        <row r="257">
          <cell r="A257">
            <v>213608012000001</v>
          </cell>
          <cell r="B257" t="str">
            <v>ADQUISICION E INSTALACION DE SISTEMAS DE SEÑALIZACION Y GUIA DE USUARIO</v>
          </cell>
          <cell r="C257">
            <v>100000000</v>
          </cell>
        </row>
        <row r="258">
          <cell r="B258" t="str">
            <v>AEROPUERTO IBAGUE</v>
          </cell>
          <cell r="C258">
            <v>100000000</v>
          </cell>
        </row>
        <row r="259">
          <cell r="A259">
            <v>213608012000002</v>
          </cell>
          <cell r="B259" t="str">
            <v>ADQUISICION, INSTALACION, CALIBRACION, PRUEBA  Y PUESTA EN SERVICIO DE SISTEMAS DE ILUMINACION.</v>
          </cell>
          <cell r="C259">
            <v>4220000000</v>
          </cell>
        </row>
        <row r="260">
          <cell r="B260" t="str">
            <v>AEROPUERTO RIONEGRO</v>
          </cell>
          <cell r="C260">
            <v>1000000000</v>
          </cell>
        </row>
        <row r="261">
          <cell r="B261" t="str">
            <v>AEROPUERTO PASTO</v>
          </cell>
          <cell r="C261">
            <v>720000000</v>
          </cell>
        </row>
        <row r="262">
          <cell r="B262" t="str">
            <v>AEROPUERTO CUCUTA</v>
          </cell>
          <cell r="C262">
            <v>1500000000</v>
          </cell>
        </row>
        <row r="263">
          <cell r="B263" t="str">
            <v>AEROPUERTO BUCARAMANGA</v>
          </cell>
          <cell r="C263">
            <v>1000000000</v>
          </cell>
        </row>
        <row r="264">
          <cell r="A264">
            <v>213608012000003</v>
          </cell>
          <cell r="B264" t="str">
            <v>ADQUISICION, INSTALACION , CALIBRACION, PRUEBA Y PUESTA EN SERVICIO DE EQUIPOS PARA LOS SISTEMAS AEROPORTUARIOS.</v>
          </cell>
          <cell r="C264">
            <v>1500000000</v>
          </cell>
        </row>
        <row r="265">
          <cell r="B265" t="str">
            <v>ASIGNADO REGIONAL CUNDINAMARCA</v>
          </cell>
          <cell r="C265">
            <v>260000000</v>
          </cell>
        </row>
        <row r="266">
          <cell r="B266" t="str">
            <v>ASIGNADO REGIONAL ANTIOQUIA</v>
          </cell>
          <cell r="C266">
            <v>15000000</v>
          </cell>
        </row>
        <row r="267">
          <cell r="B267" t="str">
            <v>ASIGNADO REGIONAL ATLANTICO</v>
          </cell>
          <cell r="C267">
            <v>15000000</v>
          </cell>
        </row>
        <row r="268">
          <cell r="B268" t="str">
            <v>AEROPUERTO CARTAGENA</v>
          </cell>
          <cell r="C268">
            <v>70000000</v>
          </cell>
        </row>
        <row r="269">
          <cell r="B269" t="str">
            <v>ESTACION TUBARA</v>
          </cell>
          <cell r="C269">
            <v>70000000</v>
          </cell>
        </row>
        <row r="270">
          <cell r="B270" t="str">
            <v>ESTACION CERRO MACO</v>
          </cell>
          <cell r="C270">
            <v>70000000</v>
          </cell>
        </row>
        <row r="271">
          <cell r="B271" t="str">
            <v>ASIGNADO REGIONAL VALLE</v>
          </cell>
          <cell r="C271">
            <v>200000000</v>
          </cell>
        </row>
        <row r="272">
          <cell r="B272" t="str">
            <v>AEROPUERTO CALI</v>
          </cell>
          <cell r="C272">
            <v>600000000</v>
          </cell>
        </row>
        <row r="273">
          <cell r="B273" t="str">
            <v>ASIGNADO REGIONAL NORTE DE SAN</v>
          </cell>
          <cell r="C273">
            <v>10000000</v>
          </cell>
        </row>
        <row r="274">
          <cell r="B274" t="str">
            <v>AEROPUERTO CUCUTA</v>
          </cell>
          <cell r="C274">
            <v>120000000</v>
          </cell>
        </row>
        <row r="275">
          <cell r="B275" t="str">
            <v>AEROPUERTO VILLAVICENCIO</v>
          </cell>
          <cell r="C275">
            <v>70000000</v>
          </cell>
        </row>
        <row r="276">
          <cell r="A276">
            <v>213608012000004</v>
          </cell>
          <cell r="B276" t="str">
            <v>ADQUISICION, INSTALACION  DE REPUESTOS PARA LOS SISTEMAS AEROPORTUARIOS</v>
          </cell>
          <cell r="C276">
            <v>800000000</v>
          </cell>
        </row>
        <row r="277">
          <cell r="B277" t="str">
            <v>NIVEL CENTRAL</v>
          </cell>
          <cell r="C277">
            <v>800000000</v>
          </cell>
        </row>
        <row r="278">
          <cell r="A278">
            <v>213608012000006</v>
          </cell>
          <cell r="B278" t="str">
            <v xml:space="preserve"> ADQUISICION, INSTALACION , CALIBRACION, PRUEBA Y PUESTA EN SERVICIO DE LUCES PAPI</v>
          </cell>
          <cell r="C278">
            <v>380000000</v>
          </cell>
        </row>
        <row r="279">
          <cell r="B279" t="str">
            <v>AEROPUERTO RIONEGRO</v>
          </cell>
          <cell r="C279">
            <v>80000000</v>
          </cell>
        </row>
        <row r="280">
          <cell r="B280" t="str">
            <v>AEROPUERTO PASTO</v>
          </cell>
          <cell r="C280">
            <v>200000000</v>
          </cell>
        </row>
        <row r="281">
          <cell r="B281" t="str">
            <v>AEROPUERTO ARAUCA</v>
          </cell>
          <cell r="C281">
            <v>100000000</v>
          </cell>
        </row>
        <row r="282">
          <cell r="A282">
            <v>213608013</v>
          </cell>
          <cell r="B282" t="str">
            <v>MANTENIMIENTO Y CONSERVACION DE EQUIPO AEREO.</v>
          </cell>
          <cell r="C282">
            <v>7000000000</v>
          </cell>
        </row>
        <row r="283">
          <cell r="A283">
            <v>213608013000002</v>
          </cell>
          <cell r="B283" t="str">
            <v>GASTOS OPERATIVOS.</v>
          </cell>
          <cell r="C283">
            <v>650000000</v>
          </cell>
        </row>
        <row r="284">
          <cell r="A284">
            <v>2136080130000020</v>
          </cell>
          <cell r="B284" t="str">
            <v>GASTOS GENERALES</v>
          </cell>
          <cell r="C284">
            <v>650000000</v>
          </cell>
        </row>
        <row r="285">
          <cell r="A285">
            <v>2.13608013000002E+16</v>
          </cell>
          <cell r="B285" t="str">
            <v>SUMINISTRO DE COMBUSTIBLE  Y LUBRICANTES PARA EL MANTENIMIENTO DE EQUIPO AEREO.</v>
          </cell>
          <cell r="C285">
            <v>650000000</v>
          </cell>
        </row>
        <row r="286">
          <cell r="B286" t="str">
            <v>NIVEL CENTRAL</v>
          </cell>
          <cell r="C286">
            <v>650000000</v>
          </cell>
        </row>
        <row r="287">
          <cell r="A287">
            <v>213608013000009</v>
          </cell>
          <cell r="B287" t="str">
            <v>MANTENIMIENTO DE EQUIPO AEREO.</v>
          </cell>
          <cell r="C287">
            <v>1200000000</v>
          </cell>
        </row>
        <row r="288">
          <cell r="B288" t="str">
            <v>NIVEL CENTRAL</v>
          </cell>
          <cell r="C288">
            <v>1200000000</v>
          </cell>
        </row>
        <row r="289">
          <cell r="A289">
            <v>213608013000010</v>
          </cell>
          <cell r="B289" t="str">
            <v>CONSERVACION DE EQUIPO AEREO.</v>
          </cell>
          <cell r="C289">
            <v>5150000000</v>
          </cell>
        </row>
        <row r="290">
          <cell r="B290" t="str">
            <v>NIVEL CENTRAL</v>
          </cell>
          <cell r="C290">
            <v>5150000000</v>
          </cell>
        </row>
        <row r="291">
          <cell r="A291">
            <v>213608014</v>
          </cell>
          <cell r="B291" t="str">
            <v>MANTENIMIENTO Y CONSERVACION DE EQUIPOS DE SEGURIDAD AEROPORTUARIA.</v>
          </cell>
          <cell r="C291">
            <v>2447000000</v>
          </cell>
        </row>
        <row r="292">
          <cell r="A292">
            <v>213608014000000</v>
          </cell>
          <cell r="B292" t="str">
            <v>MANTENIMIENTO DE CONTROL DE ACCESOS E INCENDIOS</v>
          </cell>
          <cell r="C292">
            <v>282000000</v>
          </cell>
        </row>
        <row r="293">
          <cell r="B293" t="str">
            <v>NIVEL CENTRAL</v>
          </cell>
          <cell r="C293">
            <v>192000000</v>
          </cell>
        </row>
        <row r="294">
          <cell r="B294" t="str">
            <v>GENERAL REGIONAL ANTIOQUIA</v>
          </cell>
          <cell r="C294">
            <v>30000000</v>
          </cell>
        </row>
        <row r="295">
          <cell r="B295" t="str">
            <v>GENERAL REGIONAL ATLANTICO</v>
          </cell>
          <cell r="C295">
            <v>30000000</v>
          </cell>
        </row>
        <row r="296">
          <cell r="B296" t="str">
            <v>GENERAL REGIONAL META</v>
          </cell>
          <cell r="C296">
            <v>30000000</v>
          </cell>
        </row>
        <row r="297">
          <cell r="A297">
            <v>213608014000001</v>
          </cell>
          <cell r="B297" t="str">
            <v>MANTENIMIENTO PREVENTIVO Y CORRECTIVO PARA LOS EQUIPOS DE RAYOS X Y DETECTORES DE METALES, CON SUS CORRESPONDIENTES KITS DE REPUESTOS.</v>
          </cell>
          <cell r="C297">
            <v>964500000</v>
          </cell>
        </row>
        <row r="298">
          <cell r="B298" t="str">
            <v>NIVEL CENTRAL</v>
          </cell>
          <cell r="C298">
            <v>450000000</v>
          </cell>
        </row>
        <row r="299">
          <cell r="B299" t="str">
            <v>AEROPUERTO NEIVA</v>
          </cell>
          <cell r="C299">
            <v>30000000</v>
          </cell>
        </row>
        <row r="300">
          <cell r="B300" t="str">
            <v>AEROPUERTO IBAGUE</v>
          </cell>
          <cell r="C300">
            <v>30000000</v>
          </cell>
        </row>
        <row r="301">
          <cell r="B301" t="str">
            <v>AEROPUERTO PUERTO ASIS</v>
          </cell>
          <cell r="C301">
            <v>30000000</v>
          </cell>
        </row>
        <row r="302">
          <cell r="B302" t="str">
            <v>AEROPUERTO FLORENCIA</v>
          </cell>
          <cell r="C302">
            <v>30000000</v>
          </cell>
        </row>
        <row r="303">
          <cell r="B303" t="str">
            <v>AEROPUERTO LETICIA</v>
          </cell>
          <cell r="C303">
            <v>40000000</v>
          </cell>
        </row>
        <row r="304">
          <cell r="B304" t="str">
            <v>AEROPUERTO PUERTO BERRIO</v>
          </cell>
          <cell r="C304">
            <v>4500000</v>
          </cell>
        </row>
        <row r="305">
          <cell r="B305" t="str">
            <v>AEROPUERTO OTU - REMEDIOS</v>
          </cell>
          <cell r="C305">
            <v>4500000</v>
          </cell>
        </row>
        <row r="306">
          <cell r="B306" t="str">
            <v>AEROPUERTO TOLU</v>
          </cell>
          <cell r="C306">
            <v>4500000</v>
          </cell>
        </row>
        <row r="307">
          <cell r="B307" t="str">
            <v>AEROPUERTO MAGANGUE</v>
          </cell>
          <cell r="C307">
            <v>4500000</v>
          </cell>
        </row>
        <row r="308">
          <cell r="B308" t="str">
            <v>AEROPUERTO PASTO</v>
          </cell>
          <cell r="C308">
            <v>30000000</v>
          </cell>
        </row>
        <row r="309">
          <cell r="B309" t="str">
            <v>AEROPUERTO BUENAVENTURA</v>
          </cell>
          <cell r="C309">
            <v>30000000</v>
          </cell>
        </row>
        <row r="310">
          <cell r="B310" t="str">
            <v>AEROPUERTO GUAPI</v>
          </cell>
          <cell r="C310">
            <v>4500000</v>
          </cell>
        </row>
        <row r="311">
          <cell r="B311" t="str">
            <v>AEROPUERTO ARMENIA</v>
          </cell>
          <cell r="C311">
            <v>30000000</v>
          </cell>
        </row>
        <row r="312">
          <cell r="B312" t="str">
            <v>AEROPUERTO IPIALES</v>
          </cell>
          <cell r="C312">
            <v>30000000</v>
          </cell>
        </row>
        <row r="313">
          <cell r="B313" t="str">
            <v>AERPUERTO POPAYAN</v>
          </cell>
          <cell r="C313">
            <v>30000000</v>
          </cell>
        </row>
        <row r="314">
          <cell r="B314" t="str">
            <v>AEROPUERTO TUMACO</v>
          </cell>
          <cell r="C314">
            <v>32000000</v>
          </cell>
        </row>
        <row r="315">
          <cell r="B315" t="str">
            <v>AEROPUERTO ARAUCA</v>
          </cell>
          <cell r="C315">
            <v>30000000</v>
          </cell>
        </row>
        <row r="316">
          <cell r="B316" t="str">
            <v>AEROPUERTO VILLAVICENCIO</v>
          </cell>
          <cell r="C316">
            <v>30000000</v>
          </cell>
        </row>
        <row r="317">
          <cell r="B317" t="str">
            <v>AEROPUERTO EL YOPAL</v>
          </cell>
          <cell r="C317">
            <v>30000000</v>
          </cell>
        </row>
        <row r="318">
          <cell r="B318" t="str">
            <v>AEROPUERTO MITU</v>
          </cell>
          <cell r="C318">
            <v>30000000</v>
          </cell>
        </row>
        <row r="319">
          <cell r="B319" t="str">
            <v>AEROPUERTO PUERTO CARRE?O</v>
          </cell>
          <cell r="C319">
            <v>30000000</v>
          </cell>
        </row>
        <row r="320">
          <cell r="A320">
            <v>213608014000002</v>
          </cell>
          <cell r="B320" t="str">
            <v>MANTENIMIENTO PREVENTIVO Y CORRECTIVO DE LOS CIRCUITOS CERRADOS DE TELEVISION Y LOS SISTEMAS DE COMUNICACIONES, CON SUS CORRESPONDIENTES</v>
          </cell>
          <cell r="C320">
            <v>890500000</v>
          </cell>
        </row>
        <row r="321">
          <cell r="B321" t="str">
            <v>NIVEL CENTRAL</v>
          </cell>
          <cell r="C321">
            <v>520173741</v>
          </cell>
        </row>
        <row r="322">
          <cell r="B322" t="str">
            <v>AEROPUERTO IBAGUE</v>
          </cell>
          <cell r="C322">
            <v>20000000</v>
          </cell>
        </row>
        <row r="323">
          <cell r="B323" t="str">
            <v>AEROPUERTO PUERTO ASIS</v>
          </cell>
          <cell r="C323">
            <v>15000000</v>
          </cell>
        </row>
        <row r="324">
          <cell r="B324" t="str">
            <v>AEROPUERTO FLORENCIA</v>
          </cell>
          <cell r="C324">
            <v>15326259</v>
          </cell>
        </row>
        <row r="325">
          <cell r="B325" t="str">
            <v>AEROPUERTO LETICIA</v>
          </cell>
          <cell r="C325">
            <v>50000000</v>
          </cell>
        </row>
        <row r="326">
          <cell r="B326" t="str">
            <v>GENERAL REGIONAL ANTIOQUIA</v>
          </cell>
          <cell r="C326">
            <v>30000000</v>
          </cell>
        </row>
        <row r="327">
          <cell r="B327" t="str">
            <v>GENERAL REGIONAL ATLANTICO</v>
          </cell>
          <cell r="C327">
            <v>30000000</v>
          </cell>
        </row>
        <row r="328">
          <cell r="B328" t="str">
            <v>AEROPUERTO PASTO</v>
          </cell>
          <cell r="C328">
            <v>30000000</v>
          </cell>
        </row>
        <row r="329">
          <cell r="B329" t="str">
            <v>AEROPUERTO BUENAVENTURA</v>
          </cell>
          <cell r="C329">
            <v>30000000</v>
          </cell>
        </row>
        <row r="330">
          <cell r="B330" t="str">
            <v>AEROPUERTO IPIALES</v>
          </cell>
          <cell r="C330">
            <v>30000000</v>
          </cell>
        </row>
        <row r="331">
          <cell r="B331" t="str">
            <v>AEROPUERTO TUMACO</v>
          </cell>
          <cell r="C331">
            <v>20000000</v>
          </cell>
        </row>
        <row r="332">
          <cell r="B332" t="str">
            <v>AEROPUERTO ARAUCA</v>
          </cell>
          <cell r="C332">
            <v>20000000</v>
          </cell>
        </row>
        <row r="333">
          <cell r="B333" t="str">
            <v>GENERAL REGIONAL META</v>
          </cell>
          <cell r="C333">
            <v>30000000</v>
          </cell>
        </row>
        <row r="334">
          <cell r="B334" t="str">
            <v>AEROPUERTO VILLAVICENCIO</v>
          </cell>
          <cell r="C334">
            <v>20000000</v>
          </cell>
        </row>
        <row r="335">
          <cell r="B335" t="str">
            <v>AEROPUERTO EL YOPAL</v>
          </cell>
          <cell r="C335">
            <v>30000000</v>
          </cell>
        </row>
        <row r="336">
          <cell r="A336">
            <v>213608014000003</v>
          </cell>
          <cell r="B336" t="str">
            <v>MANTENIMIENTO DE EQUIPOS DE IDENTIFICACION CON SU CORRESPONDIENTE KIT DE REPUESTOS E INSUMOS EN EL NIVEL CENTRAL.</v>
          </cell>
          <cell r="C336">
            <v>310000000</v>
          </cell>
        </row>
        <row r="337">
          <cell r="B337" t="str">
            <v>NIVEL CENTRAL</v>
          </cell>
          <cell r="C337">
            <v>190000000</v>
          </cell>
        </row>
        <row r="338">
          <cell r="B338" t="str">
            <v>AEROPUERTO NEIVA</v>
          </cell>
          <cell r="C338">
            <v>10000000</v>
          </cell>
        </row>
        <row r="339">
          <cell r="B339" t="str">
            <v>AEROPUERTO IBAGUE</v>
          </cell>
          <cell r="C339">
            <v>10000000</v>
          </cell>
        </row>
        <row r="340">
          <cell r="B340" t="str">
            <v>AEROPUERTO PUERTO ASIS</v>
          </cell>
          <cell r="C340">
            <v>10000000</v>
          </cell>
        </row>
        <row r="341">
          <cell r="B341" t="str">
            <v>AEROPUERTO FLORENCIA</v>
          </cell>
          <cell r="C341">
            <v>10000000</v>
          </cell>
        </row>
        <row r="342">
          <cell r="B342" t="str">
            <v>AEROPUERTO LETICIA</v>
          </cell>
          <cell r="C342">
            <v>10000000</v>
          </cell>
        </row>
        <row r="343">
          <cell r="B343" t="str">
            <v>AEROPUERTO PASTO</v>
          </cell>
          <cell r="C343">
            <v>10000000</v>
          </cell>
        </row>
        <row r="344">
          <cell r="B344" t="str">
            <v>AEROPUERTO ARMENIA</v>
          </cell>
          <cell r="C344">
            <v>10000000</v>
          </cell>
        </row>
        <row r="345">
          <cell r="B345" t="str">
            <v>AEROPUERTO IPIALES</v>
          </cell>
          <cell r="C345">
            <v>10000000</v>
          </cell>
        </row>
        <row r="346">
          <cell r="B346" t="str">
            <v>AERPUERTO POPAYAN</v>
          </cell>
          <cell r="C346">
            <v>10000000</v>
          </cell>
        </row>
        <row r="347">
          <cell r="B347" t="str">
            <v>AEROPUERTO ARAUCA</v>
          </cell>
          <cell r="C347">
            <v>10000000</v>
          </cell>
        </row>
        <row r="348">
          <cell r="B348" t="str">
            <v>AEROPUERTO VILLAVICENCIO</v>
          </cell>
          <cell r="C348">
            <v>10000000</v>
          </cell>
        </row>
        <row r="349">
          <cell r="B349" t="str">
            <v>AEROPUERTO EL YOPAL</v>
          </cell>
          <cell r="C349">
            <v>10000000</v>
          </cell>
        </row>
        <row r="350">
          <cell r="A350">
            <v>213608015</v>
          </cell>
          <cell r="B350" t="str">
            <v>REPOSICION Y MANTENIMIENTO PARQUE AUTOMOTOR PARA LA OPERACION DE LA INFRAESTRUCTURA AERONAUTICA Y AEROPORTUARIA.</v>
          </cell>
          <cell r="C350">
            <v>1200000000</v>
          </cell>
        </row>
        <row r="351">
          <cell r="A351">
            <v>213608015000002</v>
          </cell>
          <cell r="B351" t="str">
            <v>REPOSICION PARQUE AUTOMOTOR PARA LA OPERACION AERONAUTICA Y AEROPORTUARIA.</v>
          </cell>
          <cell r="C351">
            <v>1200000000</v>
          </cell>
        </row>
        <row r="352">
          <cell r="B352" t="str">
            <v>NIVEL CENTRAL</v>
          </cell>
          <cell r="C352">
            <v>1200000000</v>
          </cell>
        </row>
        <row r="353">
          <cell r="A353">
            <v>213608016</v>
          </cell>
          <cell r="B353" t="str">
            <v>ADQUISICION EQUIPOS Y SISTEMAS AERONAUTICOS Y AEROPORTUARIOS AEROPUERTO EL DORADO</v>
          </cell>
          <cell r="C353">
            <v>37023000000</v>
          </cell>
        </row>
        <row r="354">
          <cell r="A354">
            <v>213608016000002</v>
          </cell>
          <cell r="B354" t="str">
            <v>ADQUISICION, INSTALACION Y PUESTA EN SERVICIO DE EQUIPOS CENTRO NACIONAL DE ANALISIS Y PRONOSTICOS METEOROLOGICOS (CNAP)</v>
          </cell>
          <cell r="C354">
            <v>8539000000</v>
          </cell>
        </row>
        <row r="355">
          <cell r="B355" t="str">
            <v>NIVEL CENTRAL</v>
          </cell>
          <cell r="C355">
            <v>8539000000</v>
          </cell>
        </row>
        <row r="356">
          <cell r="A356">
            <v>213608016000003</v>
          </cell>
          <cell r="B356" t="str">
            <v>ADQUISICION, INSTALACION Y PUESTA EN SERVICIO DE SISTEMAS EQUIPOS DE COMUNICACIONES</v>
          </cell>
          <cell r="C356">
            <v>10880000000</v>
          </cell>
        </row>
        <row r="357">
          <cell r="B357" t="str">
            <v>ADQUISICION INSTALACION Y PUESTA EN SERVCIOS SALA TECNICA NOC</v>
          </cell>
          <cell r="C357">
            <v>8800000000</v>
          </cell>
        </row>
        <row r="358">
          <cell r="B358" t="str">
            <v xml:space="preserve">PLANTA TELEFONICA IP PARA ATC </v>
          </cell>
          <cell r="C358">
            <v>2080000000</v>
          </cell>
        </row>
        <row r="359">
          <cell r="A359">
            <v>213608016000004</v>
          </cell>
          <cell r="B359" t="str">
            <v>ADQUISICION, INSTALACION, AUTOMATIZACION Y PUESTA EN SERVICIO DE SISTEMAS Y EQUIPOS DE ENERGIA</v>
          </cell>
          <cell r="C359">
            <v>4000000000</v>
          </cell>
        </row>
        <row r="360">
          <cell r="B360" t="str">
            <v>NIVEL CENTRAL</v>
          </cell>
          <cell r="C360">
            <v>4000000000</v>
          </cell>
        </row>
        <row r="361">
          <cell r="A361">
            <v>213608016000006</v>
          </cell>
          <cell r="B361" t="str">
            <v>CENTRO SITUACIONAL DE GESTION DE CRISIS PARA LA SEGURIDAD DE LA AVIACION CIVIL</v>
          </cell>
          <cell r="C361">
            <v>5704000000</v>
          </cell>
        </row>
        <row r="362">
          <cell r="B362" t="str">
            <v>NIVEL CENTRAL</v>
          </cell>
          <cell r="C362">
            <v>5704000000</v>
          </cell>
        </row>
        <row r="363">
          <cell r="A363">
            <v>213608016000009</v>
          </cell>
          <cell r="B363" t="str">
            <v>ADQUISICION, INSTALACION Y PUESTA EN SERVICIO DE SISTEMAS Y EQUIPOS DE VIGILANCIA AERONAUTICA</v>
          </cell>
          <cell r="C363">
            <v>6400000000</v>
          </cell>
        </row>
        <row r="364">
          <cell r="B364" t="str">
            <v>NIVEL CENTRAL</v>
          </cell>
          <cell r="C364">
            <v>6400000000</v>
          </cell>
        </row>
        <row r="365">
          <cell r="A365">
            <v>213608016000010</v>
          </cell>
          <cell r="B365" t="str">
            <v>ADQUISICION, INSTALACION Y PUESTA EN SERVICIO DE SISTEMAS Y EQUIPOS DE METEOROLOGIA AERONAUTICA</v>
          </cell>
          <cell r="C365">
            <v>1500000000</v>
          </cell>
        </row>
        <row r="366">
          <cell r="B366" t="str">
            <v>NIVEL CENTRAL</v>
          </cell>
          <cell r="C366">
            <v>1500000000</v>
          </cell>
        </row>
        <row r="367">
          <cell r="A367">
            <v>213608018</v>
          </cell>
          <cell r="B367" t="str">
            <v>ADQUISICION DE SISTEMAS Y SERVICIOS INFORMATICOS PARA EL PLAN NACIONAL DE INFORMATICA.</v>
          </cell>
          <cell r="C367">
            <v>9500000000</v>
          </cell>
        </row>
        <row r="368">
          <cell r="A368">
            <v>213608018000001</v>
          </cell>
          <cell r="B368" t="str">
            <v>ADQUISICION, INSTALACION Y PUESTA EN FUNCIONAMIENTO DE MICROCOMPUTADORES.</v>
          </cell>
          <cell r="C368">
            <v>1000000000</v>
          </cell>
        </row>
        <row r="369">
          <cell r="B369" t="str">
            <v>NIVEL CENTRAL</v>
          </cell>
          <cell r="C369">
            <v>1000000000</v>
          </cell>
        </row>
        <row r="370">
          <cell r="A370">
            <v>213608018000002</v>
          </cell>
          <cell r="B370" t="str">
            <v>ADQUISICION, INSTALACION Y PUESTA EN FUNCIONAMIENTO DE IMPRESORAS</v>
          </cell>
          <cell r="C370">
            <v>462333794</v>
          </cell>
        </row>
        <row r="371">
          <cell r="B371" t="str">
            <v>NIVEL CENTRAL</v>
          </cell>
          <cell r="C371">
            <v>462333794</v>
          </cell>
        </row>
        <row r="372">
          <cell r="A372">
            <v>213608018000003</v>
          </cell>
          <cell r="B372" t="str">
            <v xml:space="preserve">ADQUISICION, INSTALACION Y PUESTA EN FUNCIONAMIENTO DE SERVIDORES CORPORATIVOS </v>
          </cell>
          <cell r="C372">
            <v>1000000000</v>
          </cell>
        </row>
        <row r="373">
          <cell r="B373" t="str">
            <v>NIVEL CENTRAL</v>
          </cell>
          <cell r="C373">
            <v>1000000000</v>
          </cell>
        </row>
        <row r="374">
          <cell r="A374">
            <v>213608018000004</v>
          </cell>
          <cell r="B374" t="str">
            <v xml:space="preserve">ADQUISICION, INSTALACION Y PUESTA EN FUNCIONAMIENTO DE EQUIPOS PERIFERICOS </v>
          </cell>
          <cell r="C374">
            <v>300000000</v>
          </cell>
        </row>
        <row r="375">
          <cell r="B375" t="str">
            <v>NIVEL CENTRAL</v>
          </cell>
          <cell r="C375">
            <v>300000000</v>
          </cell>
        </row>
        <row r="376">
          <cell r="A376">
            <v>213608018000006</v>
          </cell>
          <cell r="B376" t="str">
            <v xml:space="preserve">ADQUISICION, INSTALACION Y PUESTA EN FUNCIONAMIENTO DE LICENCIAS PARA LA RED DE INFORMACION </v>
          </cell>
          <cell r="C376">
            <v>1300000000</v>
          </cell>
        </row>
        <row r="377">
          <cell r="B377" t="str">
            <v>NIVEL CENTRAL</v>
          </cell>
          <cell r="C377">
            <v>1300000000</v>
          </cell>
        </row>
        <row r="378">
          <cell r="A378">
            <v>213608018000007</v>
          </cell>
          <cell r="B378" t="str">
            <v xml:space="preserve">ADQUISICION, INSTALACION Y PUESTA EN FUNCIONAMIENTO DE UNA ESTRUCTURA DE CABLEADO LOCAL QUE SOPORTE MAYOR CAPACIDAD PARA LAS DIFERENTES AREAS DE LA ENTIDAD. </v>
          </cell>
          <cell r="C378">
            <v>150000000</v>
          </cell>
        </row>
        <row r="379">
          <cell r="B379" t="str">
            <v>NIVEL CENTRAL</v>
          </cell>
          <cell r="C379">
            <v>150000000</v>
          </cell>
        </row>
        <row r="380">
          <cell r="A380">
            <v>213608018000010</v>
          </cell>
          <cell r="B380" t="str">
            <v>ADQUISICION, INSTALACION Y PUESTA EN FUNCIONAMIENTO DE SOLUCIONES INFORMATICAS PARA LAS AREAS ADMINISTRATIVAS, OPERATIVAS Y DE MISION DE LA ENTIDAD</v>
          </cell>
          <cell r="C380">
            <v>1190000000</v>
          </cell>
        </row>
        <row r="381">
          <cell r="B381" t="str">
            <v>NIVEL CENTRAL</v>
          </cell>
          <cell r="C381">
            <v>1190000000</v>
          </cell>
        </row>
        <row r="382">
          <cell r="A382">
            <v>213608018000014</v>
          </cell>
          <cell r="B382" t="str">
            <v>ADQUISICION, INSTALACION Y PUESTA EN FUNCIONAMIENTO DE HARDWARE Y/O SOFTWARE PARA LA SEGURIDAD INFORMATICA DE LA ENTIDAD</v>
          </cell>
          <cell r="C382">
            <v>150000000</v>
          </cell>
        </row>
        <row r="383">
          <cell r="B383" t="str">
            <v>NIVEL CENTRAL</v>
          </cell>
          <cell r="C383">
            <v>150000000</v>
          </cell>
        </row>
        <row r="384">
          <cell r="A384">
            <v>213608018000016</v>
          </cell>
          <cell r="B384" t="str">
            <v>ADQUISICION, INSTALACION Y PUESTA EN FUNCIONAMIENTO DE EQUIPOS Y SOFTWARE PARA ADMINISTRACION DE LA RED.</v>
          </cell>
          <cell r="C384">
            <v>150000000</v>
          </cell>
        </row>
        <row r="385">
          <cell r="B385" t="str">
            <v>NIVEL CENTRAL</v>
          </cell>
          <cell r="C385">
            <v>150000000</v>
          </cell>
        </row>
        <row r="386">
          <cell r="A386">
            <v>213608018000021</v>
          </cell>
          <cell r="B386" t="str">
            <v>ADQUISICION E IMPLEMENTACION DE LOS SERVICIOS DE CANALES DE COMUNICACIONES PARA LOS SISTEMAS DE INFORMACIÓN.</v>
          </cell>
          <cell r="C386">
            <v>3797666206</v>
          </cell>
        </row>
        <row r="387">
          <cell r="B387" t="str">
            <v>NIVEL CENTRAL</v>
          </cell>
          <cell r="C387">
            <v>3797666206</v>
          </cell>
        </row>
        <row r="388">
          <cell r="A388">
            <v>213608019</v>
          </cell>
          <cell r="B388" t="str">
            <v>MANTENIMIENTO Y CONSERVACION DE EQUIPOS DE COMPUTACION.</v>
          </cell>
          <cell r="C388">
            <v>6642000000</v>
          </cell>
        </row>
        <row r="389">
          <cell r="A389">
            <v>213608019000001</v>
          </cell>
          <cell r="B389" t="str">
            <v>MANTENIMIENTO DE SERVIDORES</v>
          </cell>
          <cell r="C389">
            <v>10000000</v>
          </cell>
        </row>
        <row r="390">
          <cell r="B390" t="str">
            <v>NIVEL CENTRAL</v>
          </cell>
          <cell r="C390">
            <v>10000000</v>
          </cell>
        </row>
        <row r="391">
          <cell r="A391">
            <v>213608019000002</v>
          </cell>
          <cell r="B391" t="str">
            <v>MANTENIMIENTO DE LA INFRAESTRUCUTRA FISICA DE LA RED A NIVEL NACIONAL</v>
          </cell>
          <cell r="C391">
            <v>110250000</v>
          </cell>
        </row>
        <row r="392">
          <cell r="B392" t="str">
            <v>NIVEL CENTRAL</v>
          </cell>
          <cell r="C392">
            <v>110250000</v>
          </cell>
        </row>
        <row r="393">
          <cell r="A393">
            <v>213608019000003</v>
          </cell>
          <cell r="B393" t="str">
            <v>MANTENIMIENTO Y CONSERVACION DE EQUIPOS MICROCOMPUTADORES E IMPRESORAS</v>
          </cell>
          <cell r="C393">
            <v>1382273249</v>
          </cell>
        </row>
        <row r="394">
          <cell r="B394" t="str">
            <v>NIVEL CENTRAL</v>
          </cell>
          <cell r="C394">
            <v>1382273249</v>
          </cell>
        </row>
        <row r="395">
          <cell r="A395">
            <v>213608019000004</v>
          </cell>
          <cell r="B395" t="str">
            <v>ACTUALIZACION Y SOPORTE TECNICO DEL SW PARA MANEJO DE BASE DE DATOS ORACLE</v>
          </cell>
          <cell r="C395">
            <v>1357600630</v>
          </cell>
        </row>
        <row r="396">
          <cell r="B396" t="str">
            <v>NIVEL CENTRAL</v>
          </cell>
          <cell r="C396">
            <v>1357600630</v>
          </cell>
        </row>
        <row r="397">
          <cell r="A397">
            <v>213608019000006</v>
          </cell>
          <cell r="B397" t="str">
            <v>ADQUISICION DE HERRAMIENTAS Y REPUESTOS PARA EQUIPOS DE LA INFRAESTRUCTURA  TECNOLOGICA INFORMATICA.</v>
          </cell>
          <cell r="C397">
            <v>21447114</v>
          </cell>
        </row>
        <row r="398">
          <cell r="B398" t="str">
            <v>NIVEL CENTRAL</v>
          </cell>
          <cell r="C398">
            <v>21447114</v>
          </cell>
        </row>
        <row r="399">
          <cell r="A399">
            <v>213608019000010</v>
          </cell>
          <cell r="B399" t="str">
            <v>ACTUALIZACION Y MANTENIMIENTO AL SOFTWARE DE LOS SISTEMAS DE INFORMACION DE LA ENTIDAD</v>
          </cell>
          <cell r="C399">
            <v>3760429007</v>
          </cell>
        </row>
        <row r="400">
          <cell r="B400" t="str">
            <v>NIVEL CENTRAL</v>
          </cell>
          <cell r="C400">
            <v>3760429007</v>
          </cell>
        </row>
        <row r="401">
          <cell r="A401">
            <v>213608031</v>
          </cell>
          <cell r="B401" t="str">
            <v>ADQUISICION DE EQUIPOS Y SERVICIOS MEDICOS PARA SANIDADES AEROPORTUARIAS.</v>
          </cell>
          <cell r="C401">
            <v>3340000000</v>
          </cell>
        </row>
        <row r="402">
          <cell r="A402">
            <v>213608031000001</v>
          </cell>
          <cell r="B402" t="str">
            <v>CONTRATACION MEDICOS</v>
          </cell>
          <cell r="C402">
            <v>1938990000</v>
          </cell>
        </row>
        <row r="403">
          <cell r="B403" t="str">
            <v>NIVEL CENTRAL</v>
          </cell>
          <cell r="C403">
            <v>92790000</v>
          </cell>
        </row>
        <row r="404">
          <cell r="B404" t="str">
            <v>AEROPUERTO NEIVA</v>
          </cell>
          <cell r="C404">
            <v>162900000</v>
          </cell>
        </row>
        <row r="405">
          <cell r="B405" t="str">
            <v>AEROPUERTO IBAGUE</v>
          </cell>
          <cell r="C405">
            <v>108600000</v>
          </cell>
        </row>
        <row r="406">
          <cell r="B406" t="str">
            <v>AEROPUERTO PUERTO ASIS</v>
          </cell>
          <cell r="C406">
            <v>108600000</v>
          </cell>
        </row>
        <row r="407">
          <cell r="B407" t="str">
            <v>AEROPUERTO FLORENCIA</v>
          </cell>
          <cell r="C407">
            <v>108600000</v>
          </cell>
        </row>
        <row r="408">
          <cell r="B408" t="str">
            <v>AEROPUERTO LETICIA</v>
          </cell>
          <cell r="C408">
            <v>162900000</v>
          </cell>
        </row>
        <row r="409">
          <cell r="B409" t="str">
            <v>AEROPUERTO BARRANQUILLA</v>
          </cell>
          <cell r="C409">
            <v>217200000</v>
          </cell>
        </row>
        <row r="410">
          <cell r="B410" t="str">
            <v>AEROPUERTO PASTO</v>
          </cell>
          <cell r="C410">
            <v>108600000</v>
          </cell>
        </row>
        <row r="411">
          <cell r="B411" t="str">
            <v>AEROPUERTO ARMENIA</v>
          </cell>
          <cell r="C411">
            <v>162900000</v>
          </cell>
        </row>
        <row r="412">
          <cell r="B412" t="str">
            <v>AEROPUERTO IPIALES</v>
          </cell>
          <cell r="C412">
            <v>108600000</v>
          </cell>
        </row>
        <row r="413">
          <cell r="B413" t="str">
            <v>AERPUERTO POPAYAN</v>
          </cell>
          <cell r="C413">
            <v>108600000</v>
          </cell>
        </row>
        <row r="414">
          <cell r="B414" t="str">
            <v>AEROPUERTO TUMACO</v>
          </cell>
          <cell r="C414">
            <v>108600000</v>
          </cell>
        </row>
        <row r="415">
          <cell r="B415" t="str">
            <v>AEROPUERTO ARAUCA</v>
          </cell>
          <cell r="C415">
            <v>108600000</v>
          </cell>
        </row>
        <row r="416">
          <cell r="B416" t="str">
            <v>AEROPUERTO VILLAVICENCIO</v>
          </cell>
          <cell r="C416">
            <v>108600000</v>
          </cell>
        </row>
        <row r="417">
          <cell r="B417" t="str">
            <v>AEROPUERTO EL YOPAL</v>
          </cell>
          <cell r="C417">
            <v>162900000</v>
          </cell>
        </row>
        <row r="418">
          <cell r="A418">
            <v>213608031000002</v>
          </cell>
          <cell r="B418" t="str">
            <v>CONTRATACION ENFERMEROS (AS).</v>
          </cell>
          <cell r="C418">
            <v>739562000</v>
          </cell>
        </row>
        <row r="419">
          <cell r="B419" t="str">
            <v>NIVEL CENTRAL</v>
          </cell>
          <cell r="C419">
            <v>35408000</v>
          </cell>
        </row>
        <row r="420">
          <cell r="B420" t="str">
            <v>AEROPUERTO NEIVA</v>
          </cell>
          <cell r="C420">
            <v>62131000</v>
          </cell>
        </row>
        <row r="421">
          <cell r="B421" t="str">
            <v>AEROPUERTO IBAGUE</v>
          </cell>
          <cell r="C421">
            <v>41421000</v>
          </cell>
        </row>
        <row r="422">
          <cell r="B422" t="str">
            <v>AEROPUERTO PUERTO ASIS</v>
          </cell>
          <cell r="C422">
            <v>41421000</v>
          </cell>
        </row>
        <row r="423">
          <cell r="B423" t="str">
            <v>AEROPUERTO FLORENCIA</v>
          </cell>
          <cell r="C423">
            <v>41421000</v>
          </cell>
        </row>
        <row r="424">
          <cell r="B424" t="str">
            <v>AEROPUERTO LETICIA</v>
          </cell>
          <cell r="C424">
            <v>62131000</v>
          </cell>
        </row>
        <row r="425">
          <cell r="B425" t="str">
            <v>AEROPUERTO BARRANQUILLA</v>
          </cell>
          <cell r="C425">
            <v>82841000</v>
          </cell>
        </row>
        <row r="426">
          <cell r="B426" t="str">
            <v>AEROPUERTO PASTO</v>
          </cell>
          <cell r="C426">
            <v>41421000</v>
          </cell>
        </row>
        <row r="427">
          <cell r="B427" t="str">
            <v>AEROPUERTO ARMENIA</v>
          </cell>
          <cell r="C427">
            <v>41421000</v>
          </cell>
        </row>
        <row r="428">
          <cell r="B428" t="str">
            <v>AEROPUERTO IPIALES</v>
          </cell>
          <cell r="C428">
            <v>62131000</v>
          </cell>
        </row>
        <row r="429">
          <cell r="B429" t="str">
            <v>AERPUERTO POPAYAN</v>
          </cell>
          <cell r="C429">
            <v>41421000</v>
          </cell>
        </row>
        <row r="430">
          <cell r="B430" t="str">
            <v>AEROPUERTO TUMACO</v>
          </cell>
          <cell r="C430">
            <v>41421000</v>
          </cell>
        </row>
        <row r="431">
          <cell r="B431" t="str">
            <v>AEROPUERTO ARAUCA</v>
          </cell>
          <cell r="C431">
            <v>41421000</v>
          </cell>
        </row>
        <row r="432">
          <cell r="B432" t="str">
            <v>AEROPUERTO VILLAVICENCIO</v>
          </cell>
          <cell r="C432">
            <v>41421000</v>
          </cell>
        </row>
        <row r="433">
          <cell r="B433" t="str">
            <v>AEROPUERTO EL YOPAL</v>
          </cell>
          <cell r="C433">
            <v>62131000</v>
          </cell>
        </row>
        <row r="434">
          <cell r="A434">
            <v>213608031000003</v>
          </cell>
          <cell r="B434" t="str">
            <v>ADQUISICION MEDICAMENTOS Y SUMINISTROS</v>
          </cell>
          <cell r="C434">
            <v>64000000</v>
          </cell>
        </row>
        <row r="435">
          <cell r="B435" t="str">
            <v>NIVEL CENTRAL</v>
          </cell>
          <cell r="C435">
            <v>62000000</v>
          </cell>
        </row>
        <row r="436">
          <cell r="B436" t="str">
            <v>ASIGNADO REGIONAL ATLANTICO</v>
          </cell>
          <cell r="C436">
            <v>2000000</v>
          </cell>
        </row>
        <row r="437">
          <cell r="A437">
            <v>213608031000004</v>
          </cell>
          <cell r="B437" t="str">
            <v>DOTACION EQUIPOS PARA SANIDADES AEROPORTUARIAS</v>
          </cell>
          <cell r="C437">
            <v>387748000</v>
          </cell>
        </row>
        <row r="438">
          <cell r="B438" t="str">
            <v>NIVEL CENTRAL</v>
          </cell>
          <cell r="C438">
            <v>387748000</v>
          </cell>
        </row>
        <row r="439">
          <cell r="A439">
            <v>213608031000005</v>
          </cell>
          <cell r="B439" t="str">
            <v>GASTOS OPERATIVOS  DEL PROYECTO</v>
          </cell>
          <cell r="C439">
            <v>209700000</v>
          </cell>
        </row>
        <row r="440">
          <cell r="A440">
            <v>2.13608031000005E+16</v>
          </cell>
          <cell r="B440" t="str">
            <v>GASTOS GENERALES</v>
          </cell>
          <cell r="C440">
            <v>87500000</v>
          </cell>
        </row>
        <row r="441">
          <cell r="B441" t="str">
            <v>ASIGNADO REGIONAL CUNDINAMARCA</v>
          </cell>
          <cell r="C441">
            <v>30000000</v>
          </cell>
        </row>
        <row r="442">
          <cell r="B442" t="str">
            <v>ASIGNADO REGIONAL ATLANTICO</v>
          </cell>
          <cell r="C442">
            <v>10000000</v>
          </cell>
        </row>
        <row r="443">
          <cell r="B443" t="str">
            <v>ASIGNADO REGIONAL VALLE</v>
          </cell>
          <cell r="C443">
            <v>30000000</v>
          </cell>
        </row>
        <row r="444">
          <cell r="B444" t="str">
            <v>ASIGNADO REGIONAL NORTE DE SAN</v>
          </cell>
          <cell r="C444">
            <v>5500000</v>
          </cell>
        </row>
        <row r="445">
          <cell r="B445" t="str">
            <v>ASIGNADO REGIONAL META</v>
          </cell>
          <cell r="C445">
            <v>12000000</v>
          </cell>
        </row>
        <row r="446">
          <cell r="A446">
            <v>2.13608031000005E+16</v>
          </cell>
          <cell r="B446" t="str">
            <v>MANTENIMIENTO EQUIPOS MEDICOS.</v>
          </cell>
          <cell r="C446">
            <v>47900000</v>
          </cell>
        </row>
        <row r="447">
          <cell r="B447" t="str">
            <v>ASIGNADO REGIONAL CUNDINAMARCA</v>
          </cell>
          <cell r="C447">
            <v>11000000</v>
          </cell>
        </row>
        <row r="448">
          <cell r="B448" t="str">
            <v>ASIGNADO REGIONAL ATLANTICO</v>
          </cell>
          <cell r="C448">
            <v>4000000</v>
          </cell>
        </row>
        <row r="449">
          <cell r="B449" t="str">
            <v>ASIGNADO REGIONAL VALLE</v>
          </cell>
          <cell r="C449">
            <v>20000000</v>
          </cell>
        </row>
        <row r="450">
          <cell r="B450" t="str">
            <v>ASIGNADO REGIONAL NORTE DE SAN</v>
          </cell>
          <cell r="C450">
            <v>3900000</v>
          </cell>
        </row>
        <row r="451">
          <cell r="B451" t="str">
            <v>ASIGNADO REGIONAL META</v>
          </cell>
          <cell r="C451">
            <v>9000000</v>
          </cell>
        </row>
        <row r="452">
          <cell r="A452">
            <v>2.13608031000005E+16</v>
          </cell>
          <cell r="B452" t="str">
            <v>MANTENIMIENTO DE AMBULANCIAS.</v>
          </cell>
          <cell r="C452">
            <v>74300000</v>
          </cell>
        </row>
        <row r="453">
          <cell r="B453" t="str">
            <v>ASIGNADO REGIONAL CUNDINAMARCA</v>
          </cell>
          <cell r="C453">
            <v>35000000</v>
          </cell>
        </row>
        <row r="454">
          <cell r="B454" t="str">
            <v>ASIGNADO REGIONAL ATLANTICO</v>
          </cell>
          <cell r="C454">
            <v>4000000</v>
          </cell>
        </row>
        <row r="455">
          <cell r="B455" t="str">
            <v>ASIGNADO REGIONAL VALLE</v>
          </cell>
          <cell r="C455">
            <v>20000000</v>
          </cell>
        </row>
        <row r="456">
          <cell r="B456" t="str">
            <v>ASIGNADO REGIONAL NORTE DE SAN</v>
          </cell>
          <cell r="C456">
            <v>6300000</v>
          </cell>
        </row>
        <row r="457">
          <cell r="B457" t="str">
            <v>ASIGNADO REGIONAL META</v>
          </cell>
          <cell r="C457">
            <v>9000000</v>
          </cell>
        </row>
        <row r="458">
          <cell r="A458">
            <v>213608034</v>
          </cell>
          <cell r="B458" t="str">
            <v>ADQUISICION DE SERVICIOS DE SEGURIDAD PARA EL CONTROL Y OPERACION DE LOS SISTEMAS DE SEGURIDAD AEROPORTUARIA Y AYUDAS A LA NAVEGACION AEREA.</v>
          </cell>
          <cell r="C458">
            <v>32024000000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abSelected="1" workbookViewId="0">
      <pane ySplit="3" topLeftCell="A4" activePane="bottomLeft" state="frozen"/>
      <selection pane="bottomLeft" activeCell="H22" sqref="H22"/>
    </sheetView>
  </sheetViews>
  <sheetFormatPr baseColWidth="10" defaultRowHeight="15" x14ac:dyDescent="0.25"/>
  <cols>
    <col min="1" max="1" width="13" style="232" customWidth="1"/>
    <col min="2" max="2" width="26.140625" style="60" customWidth="1"/>
    <col min="3" max="3" width="22.140625" style="60" customWidth="1"/>
    <col min="4" max="4" width="21.7109375" style="60" customWidth="1"/>
    <col min="5" max="5" width="21" style="60" customWidth="1"/>
    <col min="6" max="6" width="18.140625" style="60" customWidth="1"/>
    <col min="7" max="7" width="20.42578125" style="60" customWidth="1"/>
    <col min="8" max="8" width="21.85546875" style="60" customWidth="1"/>
    <col min="9" max="16384" width="11.42578125" style="60"/>
  </cols>
  <sheetData>
    <row r="1" spans="1:5" x14ac:dyDescent="0.25">
      <c r="A1" s="118"/>
      <c r="B1" s="70"/>
      <c r="C1" s="70" t="s">
        <v>1</v>
      </c>
      <c r="D1" s="70" t="s">
        <v>1</v>
      </c>
      <c r="E1" s="70" t="s">
        <v>1</v>
      </c>
    </row>
    <row r="2" spans="1:5" ht="37.5" customHeight="1" x14ac:dyDescent="0.25">
      <c r="A2" s="235"/>
      <c r="B2" s="238" t="s">
        <v>270</v>
      </c>
      <c r="C2" s="239"/>
      <c r="D2" s="239"/>
      <c r="E2" s="239"/>
    </row>
    <row r="3" spans="1:5" s="176" customFormat="1" x14ac:dyDescent="0.25">
      <c r="A3" s="175" t="s">
        <v>6</v>
      </c>
      <c r="B3" s="175" t="s">
        <v>18</v>
      </c>
      <c r="C3" s="175" t="s">
        <v>22</v>
      </c>
      <c r="D3" s="175" t="s">
        <v>26</v>
      </c>
      <c r="E3" s="175" t="s">
        <v>27</v>
      </c>
    </row>
    <row r="4" spans="1:5" s="176" customFormat="1" x14ac:dyDescent="0.25">
      <c r="A4" s="233"/>
      <c r="B4" s="240" t="s">
        <v>170</v>
      </c>
      <c r="C4" s="241">
        <f>C5+C14+C17+C22</f>
        <v>332152634066</v>
      </c>
      <c r="D4" s="241">
        <f t="shared" ref="D4:E4" si="0">D5+D14+D17+D22</f>
        <v>228318174677</v>
      </c>
      <c r="E4" s="241">
        <f t="shared" si="0"/>
        <v>218151451968</v>
      </c>
    </row>
    <row r="5" spans="1:5" s="176" customFormat="1" x14ac:dyDescent="0.25">
      <c r="A5" s="242"/>
      <c r="B5" s="242" t="s">
        <v>239</v>
      </c>
      <c r="C5" s="243">
        <f>C6+C7+C8+C9+C10+C11+C12+C13</f>
        <v>255094727066</v>
      </c>
      <c r="D5" s="243">
        <f t="shared" ref="D5:E5" si="1">D6+D7+D8+D9+D10+D11+D12+D13</f>
        <v>169742991833</v>
      </c>
      <c r="E5" s="243">
        <f t="shared" si="1"/>
        <v>166950463974</v>
      </c>
    </row>
    <row r="6" spans="1:5" s="176" customFormat="1" ht="22.5" x14ac:dyDescent="0.25">
      <c r="A6" s="177" t="s">
        <v>32</v>
      </c>
      <c r="B6" s="178" t="s">
        <v>39</v>
      </c>
      <c r="C6" s="180">
        <v>93549814327</v>
      </c>
      <c r="D6" s="180">
        <v>61592796475</v>
      </c>
      <c r="E6" s="180">
        <v>61592494795</v>
      </c>
    </row>
    <row r="7" spans="1:5" s="176" customFormat="1" x14ac:dyDescent="0.25">
      <c r="A7" s="177" t="s">
        <v>40</v>
      </c>
      <c r="B7" s="178" t="s">
        <v>42</v>
      </c>
      <c r="C7" s="180">
        <v>1407750697</v>
      </c>
      <c r="D7" s="180">
        <v>865522468</v>
      </c>
      <c r="E7" s="180">
        <v>865522468</v>
      </c>
    </row>
    <row r="8" spans="1:5" s="176" customFormat="1" x14ac:dyDescent="0.25">
      <c r="A8" s="177" t="s">
        <v>43</v>
      </c>
      <c r="B8" s="178" t="s">
        <v>45</v>
      </c>
      <c r="C8" s="180">
        <v>77220703396</v>
      </c>
      <c r="D8" s="180">
        <v>46309682457</v>
      </c>
      <c r="E8" s="180">
        <v>46309412955</v>
      </c>
    </row>
    <row r="9" spans="1:5" s="176" customFormat="1" ht="33.75" x14ac:dyDescent="0.25">
      <c r="A9" s="177" t="s">
        <v>46</v>
      </c>
      <c r="B9" s="178" t="s">
        <v>48</v>
      </c>
      <c r="C9" s="180">
        <v>15866178233</v>
      </c>
      <c r="D9" s="180">
        <v>9690618680</v>
      </c>
      <c r="E9" s="180">
        <v>9690618680</v>
      </c>
    </row>
    <row r="10" spans="1:5" s="176" customFormat="1" ht="22.5" x14ac:dyDescent="0.25">
      <c r="A10" s="177" t="s">
        <v>49</v>
      </c>
      <c r="B10" s="178" t="s">
        <v>51</v>
      </c>
      <c r="C10" s="180">
        <v>0</v>
      </c>
      <c r="D10" s="180">
        <v>0</v>
      </c>
      <c r="E10" s="180">
        <v>0</v>
      </c>
    </row>
    <row r="11" spans="1:5" s="176" customFormat="1" ht="22.5" x14ac:dyDescent="0.25">
      <c r="A11" s="177" t="s">
        <v>52</v>
      </c>
      <c r="B11" s="178" t="s">
        <v>54</v>
      </c>
      <c r="C11" s="180">
        <v>6501617375</v>
      </c>
      <c r="D11" s="180">
        <v>6439251399</v>
      </c>
      <c r="E11" s="180">
        <v>3648027543</v>
      </c>
    </row>
    <row r="12" spans="1:5" s="176" customFormat="1" ht="22.5" x14ac:dyDescent="0.25">
      <c r="A12" s="177" t="s">
        <v>261</v>
      </c>
      <c r="B12" s="178" t="s">
        <v>262</v>
      </c>
      <c r="C12" s="180">
        <v>34800000</v>
      </c>
      <c r="D12" s="180">
        <v>34800000</v>
      </c>
      <c r="E12" s="180">
        <v>34800000</v>
      </c>
    </row>
    <row r="13" spans="1:5" s="176" customFormat="1" ht="33.75" x14ac:dyDescent="0.25">
      <c r="A13" s="177" t="s">
        <v>55</v>
      </c>
      <c r="B13" s="178" t="s">
        <v>56</v>
      </c>
      <c r="C13" s="180">
        <v>60513863038</v>
      </c>
      <c r="D13" s="180">
        <v>44810320354</v>
      </c>
      <c r="E13" s="180">
        <v>44809587533</v>
      </c>
    </row>
    <row r="14" spans="1:5" s="176" customFormat="1" x14ac:dyDescent="0.25">
      <c r="A14" s="242"/>
      <c r="B14" s="242" t="s">
        <v>240</v>
      </c>
      <c r="C14" s="243">
        <f>C15+C16</f>
        <v>34574907000</v>
      </c>
      <c r="D14" s="243">
        <f t="shared" ref="D14:E14" si="2">D15+D16</f>
        <v>27194106595</v>
      </c>
      <c r="E14" s="243">
        <f t="shared" si="2"/>
        <v>19823841347</v>
      </c>
    </row>
    <row r="15" spans="1:5" s="176" customFormat="1" x14ac:dyDescent="0.25">
      <c r="A15" s="177" t="s">
        <v>57</v>
      </c>
      <c r="B15" s="178" t="s">
        <v>59</v>
      </c>
      <c r="C15" s="180">
        <v>243600000</v>
      </c>
      <c r="D15" s="180">
        <v>6756734</v>
      </c>
      <c r="E15" s="180">
        <v>6756734</v>
      </c>
    </row>
    <row r="16" spans="1:5" s="176" customFormat="1" ht="22.5" x14ac:dyDescent="0.25">
      <c r="A16" s="177" t="s">
        <v>60</v>
      </c>
      <c r="B16" s="178" t="s">
        <v>61</v>
      </c>
      <c r="C16" s="180">
        <v>34331307000</v>
      </c>
      <c r="D16" s="180">
        <v>27187349861</v>
      </c>
      <c r="E16" s="180">
        <v>19817084613</v>
      </c>
    </row>
    <row r="17" spans="1:5" s="176" customFormat="1" x14ac:dyDescent="0.25">
      <c r="A17" s="242"/>
      <c r="B17" s="242" t="s">
        <v>272</v>
      </c>
      <c r="C17" s="243">
        <f>C18+C19+C20+C21</f>
        <v>21222400000</v>
      </c>
      <c r="D17" s="243">
        <f t="shared" ref="D17:E17" si="3">D18+D19+D20+D21</f>
        <v>11661106373</v>
      </c>
      <c r="E17" s="243">
        <f t="shared" si="3"/>
        <v>11659770375</v>
      </c>
    </row>
    <row r="18" spans="1:5" s="176" customFormat="1" ht="22.5" x14ac:dyDescent="0.25">
      <c r="A18" s="177" t="s">
        <v>62</v>
      </c>
      <c r="B18" s="178" t="s">
        <v>63</v>
      </c>
      <c r="C18" s="180">
        <v>1561500000</v>
      </c>
      <c r="D18" s="180">
        <v>0</v>
      </c>
      <c r="E18" s="180">
        <v>0</v>
      </c>
    </row>
    <row r="19" spans="1:5" s="176" customFormat="1" ht="33.75" x14ac:dyDescent="0.25">
      <c r="A19" s="177" t="s">
        <v>64</v>
      </c>
      <c r="B19" s="178" t="s">
        <v>65</v>
      </c>
      <c r="C19" s="180">
        <v>20500000</v>
      </c>
      <c r="D19" s="180">
        <v>20500000</v>
      </c>
      <c r="E19" s="180">
        <v>20500000</v>
      </c>
    </row>
    <row r="20" spans="1:5" s="176" customFormat="1" ht="33.75" x14ac:dyDescent="0.25">
      <c r="A20" s="177" t="s">
        <v>66</v>
      </c>
      <c r="B20" s="178" t="s">
        <v>67</v>
      </c>
      <c r="C20" s="180">
        <v>640400000</v>
      </c>
      <c r="D20" s="180">
        <v>640400000</v>
      </c>
      <c r="E20" s="180">
        <v>640400000</v>
      </c>
    </row>
    <row r="21" spans="1:5" s="176" customFormat="1" x14ac:dyDescent="0.25">
      <c r="A21" s="177" t="s">
        <v>68</v>
      </c>
      <c r="B21" s="178" t="s">
        <v>70</v>
      </c>
      <c r="C21" s="180">
        <v>19000000000</v>
      </c>
      <c r="D21" s="180">
        <v>11000206373</v>
      </c>
      <c r="E21" s="180">
        <v>10998870375</v>
      </c>
    </row>
    <row r="22" spans="1:5" s="176" customFormat="1" ht="30" x14ac:dyDescent="0.25">
      <c r="A22" s="242"/>
      <c r="B22" s="242" t="s">
        <v>273</v>
      </c>
      <c r="C22" s="243">
        <f>C23+C24</f>
        <v>21260600000</v>
      </c>
      <c r="D22" s="243">
        <f t="shared" ref="D22:E22" si="4">D23+D24</f>
        <v>19719969876</v>
      </c>
      <c r="E22" s="243">
        <f t="shared" si="4"/>
        <v>19717376272</v>
      </c>
    </row>
    <row r="23" spans="1:5" s="176" customFormat="1" x14ac:dyDescent="0.25">
      <c r="A23" s="177" t="s">
        <v>210</v>
      </c>
      <c r="B23" s="178" t="s">
        <v>72</v>
      </c>
      <c r="C23" s="180">
        <v>1677700000</v>
      </c>
      <c r="D23" s="180">
        <v>645641935</v>
      </c>
      <c r="E23" s="180">
        <v>643048331</v>
      </c>
    </row>
    <row r="24" spans="1:5" s="176" customFormat="1" x14ac:dyDescent="0.25">
      <c r="A24" s="177" t="s">
        <v>211</v>
      </c>
      <c r="B24" s="178" t="s">
        <v>71</v>
      </c>
      <c r="C24" s="180">
        <v>19582900000</v>
      </c>
      <c r="D24" s="180">
        <v>19074327941</v>
      </c>
      <c r="E24" s="180">
        <v>19074327941</v>
      </c>
    </row>
    <row r="25" spans="1:5" s="176" customFormat="1" x14ac:dyDescent="0.25">
      <c r="A25" s="233"/>
      <c r="B25" s="240" t="s">
        <v>274</v>
      </c>
      <c r="C25" s="241">
        <f>C26+C27</f>
        <v>1009700000</v>
      </c>
      <c r="D25" s="241">
        <f t="shared" ref="D25:E25" si="5">D26+D27</f>
        <v>926447180</v>
      </c>
      <c r="E25" s="241">
        <f t="shared" si="5"/>
        <v>926447180</v>
      </c>
    </row>
    <row r="26" spans="1:5" s="176" customFormat="1" x14ac:dyDescent="0.25">
      <c r="A26" s="177" t="s">
        <v>73</v>
      </c>
      <c r="B26" s="178" t="s">
        <v>75</v>
      </c>
      <c r="C26" s="180">
        <v>889600000</v>
      </c>
      <c r="D26" s="180">
        <v>858175780</v>
      </c>
      <c r="E26" s="180">
        <v>858175780</v>
      </c>
    </row>
    <row r="27" spans="1:5" s="176" customFormat="1" x14ac:dyDescent="0.25">
      <c r="A27" s="177" t="s">
        <v>76</v>
      </c>
      <c r="B27" s="178" t="s">
        <v>75</v>
      </c>
      <c r="C27" s="180">
        <v>120100000</v>
      </c>
      <c r="D27" s="180">
        <v>68271400</v>
      </c>
      <c r="E27" s="180">
        <v>68271400</v>
      </c>
    </row>
    <row r="28" spans="1:5" s="176" customFormat="1" x14ac:dyDescent="0.25">
      <c r="A28" s="233"/>
      <c r="B28" s="240" t="s">
        <v>275</v>
      </c>
      <c r="C28" s="241">
        <f>SUM(C29:C68)</f>
        <v>604575125557</v>
      </c>
      <c r="D28" s="241">
        <f t="shared" ref="D28:E28" si="6">SUM(D29:D68)</f>
        <v>531958533751.81995</v>
      </c>
      <c r="E28" s="241">
        <f t="shared" si="6"/>
        <v>181733636300.72</v>
      </c>
    </row>
    <row r="29" spans="1:5" s="176" customFormat="1" ht="45" x14ac:dyDescent="0.25">
      <c r="A29" s="177" t="s">
        <v>77</v>
      </c>
      <c r="B29" s="178" t="s">
        <v>84</v>
      </c>
      <c r="C29" s="180">
        <v>53904921958</v>
      </c>
      <c r="D29" s="180">
        <v>53904921958</v>
      </c>
      <c r="E29" s="180">
        <v>36003298266</v>
      </c>
    </row>
    <row r="30" spans="1:5" s="176" customFormat="1" ht="45" x14ac:dyDescent="0.25">
      <c r="A30" s="177" t="s">
        <v>77</v>
      </c>
      <c r="B30" s="178" t="s">
        <v>84</v>
      </c>
      <c r="C30" s="180">
        <v>46550979151</v>
      </c>
      <c r="D30" s="180">
        <v>46465106040</v>
      </c>
      <c r="E30" s="180">
        <v>18595386729</v>
      </c>
    </row>
    <row r="31" spans="1:5" s="176" customFormat="1" ht="45" x14ac:dyDescent="0.25">
      <c r="A31" s="177" t="s">
        <v>77</v>
      </c>
      <c r="B31" s="178" t="s">
        <v>84</v>
      </c>
      <c r="C31" s="180">
        <v>168865703920</v>
      </c>
      <c r="D31" s="180">
        <v>166154407783</v>
      </c>
      <c r="E31" s="180">
        <v>27893046236</v>
      </c>
    </row>
    <row r="32" spans="1:5" s="176" customFormat="1" ht="56.25" x14ac:dyDescent="0.25">
      <c r="A32" s="177" t="s">
        <v>86</v>
      </c>
      <c r="B32" s="178" t="s">
        <v>88</v>
      </c>
      <c r="C32" s="180">
        <v>57196949651</v>
      </c>
      <c r="D32" s="180">
        <v>57196949651</v>
      </c>
      <c r="E32" s="180">
        <v>18569122527</v>
      </c>
    </row>
    <row r="33" spans="1:5" s="176" customFormat="1" ht="56.25" x14ac:dyDescent="0.25">
      <c r="A33" s="177" t="s">
        <v>86</v>
      </c>
      <c r="B33" s="178" t="s">
        <v>88</v>
      </c>
      <c r="C33" s="180">
        <v>913196080</v>
      </c>
      <c r="D33" s="180">
        <v>913196080</v>
      </c>
      <c r="E33" s="180">
        <v>905294691</v>
      </c>
    </row>
    <row r="34" spans="1:5" s="176" customFormat="1" ht="33.75" x14ac:dyDescent="0.25">
      <c r="A34" s="177" t="s">
        <v>89</v>
      </c>
      <c r="B34" s="178" t="s">
        <v>91</v>
      </c>
      <c r="C34" s="180">
        <v>3000000000</v>
      </c>
      <c r="D34" s="180">
        <v>103660692</v>
      </c>
      <c r="E34" s="180">
        <v>47330796</v>
      </c>
    </row>
    <row r="35" spans="1:5" s="176" customFormat="1" ht="45" x14ac:dyDescent="0.25">
      <c r="A35" s="177" t="s">
        <v>92</v>
      </c>
      <c r="B35" s="178" t="s">
        <v>94</v>
      </c>
      <c r="C35" s="180">
        <v>5000000000</v>
      </c>
      <c r="D35" s="180">
        <v>3470656735</v>
      </c>
      <c r="E35" s="180">
        <v>3258978486</v>
      </c>
    </row>
    <row r="36" spans="1:5" s="176" customFormat="1" ht="45" x14ac:dyDescent="0.25">
      <c r="A36" s="177" t="s">
        <v>95</v>
      </c>
      <c r="B36" s="178" t="s">
        <v>96</v>
      </c>
      <c r="C36" s="180">
        <v>79083600809</v>
      </c>
      <c r="D36" s="180">
        <v>55236366308</v>
      </c>
      <c r="E36" s="180">
        <v>9249536641</v>
      </c>
    </row>
    <row r="37" spans="1:5" s="176" customFormat="1" ht="56.25" x14ac:dyDescent="0.25">
      <c r="A37" s="177" t="s">
        <v>97</v>
      </c>
      <c r="B37" s="178" t="s">
        <v>99</v>
      </c>
      <c r="C37" s="180">
        <v>9860000000</v>
      </c>
      <c r="D37" s="180">
        <v>7767840650</v>
      </c>
      <c r="E37" s="180">
        <v>3058708771</v>
      </c>
    </row>
    <row r="38" spans="1:5" s="176" customFormat="1" ht="67.5" x14ac:dyDescent="0.25">
      <c r="A38" s="177" t="s">
        <v>249</v>
      </c>
      <c r="B38" s="178" t="s">
        <v>251</v>
      </c>
      <c r="C38" s="180">
        <v>3605809324</v>
      </c>
      <c r="D38" s="180">
        <v>2195432726</v>
      </c>
      <c r="E38" s="180">
        <v>0</v>
      </c>
    </row>
    <row r="39" spans="1:5" s="176" customFormat="1" ht="56.25" x14ac:dyDescent="0.25">
      <c r="A39" s="177" t="s">
        <v>100</v>
      </c>
      <c r="B39" s="178" t="s">
        <v>102</v>
      </c>
      <c r="C39" s="180">
        <v>5238000000</v>
      </c>
      <c r="D39" s="180">
        <v>832224314</v>
      </c>
      <c r="E39" s="180">
        <v>372892826</v>
      </c>
    </row>
    <row r="40" spans="1:5" s="176" customFormat="1" ht="33.75" x14ac:dyDescent="0.25">
      <c r="A40" s="177" t="s">
        <v>103</v>
      </c>
      <c r="B40" s="178" t="s">
        <v>105</v>
      </c>
      <c r="C40" s="180">
        <v>3820000000</v>
      </c>
      <c r="D40" s="180">
        <v>968471494</v>
      </c>
      <c r="E40" s="180">
        <v>967314794</v>
      </c>
    </row>
    <row r="41" spans="1:5" s="176" customFormat="1" ht="45" x14ac:dyDescent="0.25">
      <c r="A41" s="177" t="s">
        <v>106</v>
      </c>
      <c r="B41" s="178" t="s">
        <v>107</v>
      </c>
      <c r="C41" s="180">
        <v>6915000000</v>
      </c>
      <c r="D41" s="180">
        <v>5940495533</v>
      </c>
      <c r="E41" s="180">
        <v>1019898413</v>
      </c>
    </row>
    <row r="42" spans="1:5" s="176" customFormat="1" ht="45" x14ac:dyDescent="0.25">
      <c r="A42" s="177" t="s">
        <v>108</v>
      </c>
      <c r="B42" s="178" t="s">
        <v>109</v>
      </c>
      <c r="C42" s="180">
        <v>3877000000</v>
      </c>
      <c r="D42" s="180">
        <v>2364693195</v>
      </c>
      <c r="E42" s="180">
        <v>1543518709</v>
      </c>
    </row>
    <row r="43" spans="1:5" s="176" customFormat="1" ht="56.25" x14ac:dyDescent="0.25">
      <c r="A43" s="177" t="s">
        <v>110</v>
      </c>
      <c r="B43" s="178" t="s">
        <v>111</v>
      </c>
      <c r="C43" s="180">
        <v>5200000000</v>
      </c>
      <c r="D43" s="180">
        <v>2385652909</v>
      </c>
      <c r="E43" s="180">
        <v>2308472989</v>
      </c>
    </row>
    <row r="44" spans="1:5" s="176" customFormat="1" ht="45" x14ac:dyDescent="0.25">
      <c r="A44" s="177" t="s">
        <v>112</v>
      </c>
      <c r="B44" s="178" t="s">
        <v>113</v>
      </c>
      <c r="C44" s="180">
        <v>5000000000</v>
      </c>
      <c r="D44" s="180">
        <v>1804321142</v>
      </c>
      <c r="E44" s="180">
        <v>541296343</v>
      </c>
    </row>
    <row r="45" spans="1:5" s="176" customFormat="1" ht="33.75" x14ac:dyDescent="0.25">
      <c r="A45" s="177" t="s">
        <v>114</v>
      </c>
      <c r="B45" s="178" t="s">
        <v>115</v>
      </c>
      <c r="C45" s="180">
        <v>9481272006</v>
      </c>
      <c r="D45" s="180">
        <v>9481272006</v>
      </c>
      <c r="E45" s="180">
        <v>0</v>
      </c>
    </row>
    <row r="46" spans="1:5" s="176" customFormat="1" ht="33.75" x14ac:dyDescent="0.25">
      <c r="A46" s="177" t="s">
        <v>114</v>
      </c>
      <c r="B46" s="178" t="s">
        <v>115</v>
      </c>
      <c r="C46" s="180">
        <v>9906198804</v>
      </c>
      <c r="D46" s="180">
        <v>9906198804</v>
      </c>
      <c r="E46" s="180">
        <v>8375316597</v>
      </c>
    </row>
    <row r="47" spans="1:5" s="176" customFormat="1" ht="45" x14ac:dyDescent="0.25">
      <c r="A47" s="177" t="s">
        <v>116</v>
      </c>
      <c r="B47" s="178" t="s">
        <v>117</v>
      </c>
      <c r="C47" s="180">
        <v>3200000000</v>
      </c>
      <c r="D47" s="180">
        <v>2412230624.8000002</v>
      </c>
      <c r="E47" s="180">
        <v>1354593446.8</v>
      </c>
    </row>
    <row r="48" spans="1:5" s="176" customFormat="1" ht="45" x14ac:dyDescent="0.25">
      <c r="A48" s="177" t="s">
        <v>118</v>
      </c>
      <c r="B48" s="178" t="s">
        <v>120</v>
      </c>
      <c r="C48" s="180">
        <v>2000000000</v>
      </c>
      <c r="D48" s="180">
        <v>671851158</v>
      </c>
      <c r="E48" s="180">
        <v>0</v>
      </c>
    </row>
    <row r="49" spans="1:5" s="176" customFormat="1" ht="22.5" x14ac:dyDescent="0.25">
      <c r="A49" s="177" t="s">
        <v>121</v>
      </c>
      <c r="B49" s="178" t="s">
        <v>122</v>
      </c>
      <c r="C49" s="180">
        <v>11000000000</v>
      </c>
      <c r="D49" s="180">
        <v>10654105910</v>
      </c>
      <c r="E49" s="180">
        <v>0</v>
      </c>
    </row>
    <row r="50" spans="1:5" s="176" customFormat="1" ht="56.25" x14ac:dyDescent="0.25">
      <c r="A50" s="177" t="s">
        <v>123</v>
      </c>
      <c r="B50" s="178" t="s">
        <v>124</v>
      </c>
      <c r="C50" s="180">
        <v>509196000</v>
      </c>
      <c r="D50" s="180">
        <v>229609500</v>
      </c>
      <c r="E50" s="180">
        <v>107543200</v>
      </c>
    </row>
    <row r="51" spans="1:5" s="176" customFormat="1" ht="56.25" x14ac:dyDescent="0.25">
      <c r="A51" s="177" t="s">
        <v>123</v>
      </c>
      <c r="B51" s="178" t="s">
        <v>124</v>
      </c>
      <c r="C51" s="180">
        <v>8867874000</v>
      </c>
      <c r="D51" s="180">
        <v>6696172323</v>
      </c>
      <c r="E51" s="180">
        <v>4260761865</v>
      </c>
    </row>
    <row r="52" spans="1:5" s="176" customFormat="1" ht="45" x14ac:dyDescent="0.25">
      <c r="A52" s="177" t="s">
        <v>125</v>
      </c>
      <c r="B52" s="178" t="s">
        <v>126</v>
      </c>
      <c r="C52" s="180">
        <v>10000000000</v>
      </c>
      <c r="D52" s="180">
        <v>6704529624</v>
      </c>
      <c r="E52" s="180">
        <v>3474684981</v>
      </c>
    </row>
    <row r="53" spans="1:5" s="176" customFormat="1" ht="45" x14ac:dyDescent="0.25">
      <c r="A53" s="177" t="s">
        <v>127</v>
      </c>
      <c r="B53" s="178" t="s">
        <v>129</v>
      </c>
      <c r="C53" s="180">
        <v>1077000000</v>
      </c>
      <c r="D53" s="180">
        <v>292392411</v>
      </c>
      <c r="E53" s="180">
        <v>63988643</v>
      </c>
    </row>
    <row r="54" spans="1:5" s="176" customFormat="1" ht="33.75" x14ac:dyDescent="0.25">
      <c r="A54" s="177" t="s">
        <v>130</v>
      </c>
      <c r="B54" s="178" t="s">
        <v>132</v>
      </c>
      <c r="C54" s="180">
        <v>2990000000</v>
      </c>
      <c r="D54" s="180">
        <v>2453610000</v>
      </c>
      <c r="E54" s="180">
        <v>1747281091</v>
      </c>
    </row>
    <row r="55" spans="1:5" s="176" customFormat="1" ht="33.75" x14ac:dyDescent="0.25">
      <c r="A55" s="177" t="s">
        <v>133</v>
      </c>
      <c r="B55" s="178" t="s">
        <v>135</v>
      </c>
      <c r="C55" s="180">
        <v>1417000000</v>
      </c>
      <c r="D55" s="180">
        <v>1382359440</v>
      </c>
      <c r="E55" s="180">
        <v>142880130</v>
      </c>
    </row>
    <row r="56" spans="1:5" s="176" customFormat="1" ht="78.75" x14ac:dyDescent="0.25">
      <c r="A56" s="177" t="s">
        <v>136</v>
      </c>
      <c r="B56" s="178" t="s">
        <v>138</v>
      </c>
      <c r="C56" s="180">
        <v>300000000</v>
      </c>
      <c r="D56" s="180">
        <v>0</v>
      </c>
      <c r="E56" s="180">
        <v>0</v>
      </c>
    </row>
    <row r="57" spans="1:5" s="176" customFormat="1" ht="45" x14ac:dyDescent="0.25">
      <c r="A57" s="177" t="s">
        <v>139</v>
      </c>
      <c r="B57" s="178" t="s">
        <v>141</v>
      </c>
      <c r="C57" s="180">
        <v>9556081942</v>
      </c>
      <c r="D57" s="180">
        <v>9556081942</v>
      </c>
      <c r="E57" s="180">
        <v>1913206436</v>
      </c>
    </row>
    <row r="58" spans="1:5" s="176" customFormat="1" ht="45" x14ac:dyDescent="0.25">
      <c r="A58" s="177" t="s">
        <v>139</v>
      </c>
      <c r="B58" s="178" t="s">
        <v>141</v>
      </c>
      <c r="C58" s="180">
        <v>6918804000</v>
      </c>
      <c r="D58" s="180">
        <v>0</v>
      </c>
      <c r="E58" s="180">
        <v>0</v>
      </c>
    </row>
    <row r="59" spans="1:5" s="176" customFormat="1" ht="45" x14ac:dyDescent="0.25">
      <c r="A59" s="177" t="s">
        <v>139</v>
      </c>
      <c r="B59" s="178" t="s">
        <v>141</v>
      </c>
      <c r="C59" s="180">
        <v>1972126000</v>
      </c>
      <c r="D59" s="180">
        <v>0</v>
      </c>
      <c r="E59" s="180">
        <v>0</v>
      </c>
    </row>
    <row r="60" spans="1:5" s="176" customFormat="1" ht="45" x14ac:dyDescent="0.25">
      <c r="A60" s="177" t="s">
        <v>142</v>
      </c>
      <c r="B60" s="178" t="s">
        <v>144</v>
      </c>
      <c r="C60" s="180">
        <v>4457000000</v>
      </c>
      <c r="D60" s="180">
        <v>3992235007.48</v>
      </c>
      <c r="E60" s="180">
        <v>2270167642.48</v>
      </c>
    </row>
    <row r="61" spans="1:5" s="176" customFormat="1" ht="33.75" x14ac:dyDescent="0.25">
      <c r="A61" s="177" t="s">
        <v>145</v>
      </c>
      <c r="B61" s="178" t="s">
        <v>147</v>
      </c>
      <c r="C61" s="180">
        <v>5445000000</v>
      </c>
      <c r="D61" s="180">
        <v>4901488180</v>
      </c>
      <c r="E61" s="180">
        <v>3145249422</v>
      </c>
    </row>
    <row r="62" spans="1:5" s="176" customFormat="1" ht="33.75" x14ac:dyDescent="0.25">
      <c r="A62" s="177" t="s">
        <v>148</v>
      </c>
      <c r="B62" s="178" t="s">
        <v>150</v>
      </c>
      <c r="C62" s="180">
        <v>3258000000</v>
      </c>
      <c r="D62" s="180">
        <v>3066845202.2199998</v>
      </c>
      <c r="E62" s="180">
        <v>1683348204</v>
      </c>
    </row>
    <row r="63" spans="1:5" s="176" customFormat="1" ht="67.5" x14ac:dyDescent="0.25">
      <c r="A63" s="177" t="s">
        <v>151</v>
      </c>
      <c r="B63" s="178" t="s">
        <v>153</v>
      </c>
      <c r="C63" s="180">
        <v>36346000000</v>
      </c>
      <c r="D63" s="180">
        <v>35291299436</v>
      </c>
      <c r="E63" s="180">
        <v>21091703142</v>
      </c>
    </row>
    <row r="64" spans="1:5" s="176" customFormat="1" ht="33.75" x14ac:dyDescent="0.25">
      <c r="A64" s="177" t="s">
        <v>154</v>
      </c>
      <c r="B64" s="178" t="s">
        <v>156</v>
      </c>
      <c r="C64" s="180">
        <v>2500000000</v>
      </c>
      <c r="D64" s="180">
        <v>2398577821.3200002</v>
      </c>
      <c r="E64" s="180">
        <v>1031514753.3200001</v>
      </c>
    </row>
    <row r="65" spans="1:5" s="176" customFormat="1" ht="45" x14ac:dyDescent="0.25">
      <c r="A65" s="177" t="s">
        <v>157</v>
      </c>
      <c r="B65" s="178" t="s">
        <v>159</v>
      </c>
      <c r="C65" s="180">
        <v>2410411912</v>
      </c>
      <c r="D65" s="180">
        <v>2407673499</v>
      </c>
      <c r="E65" s="180">
        <v>742605378</v>
      </c>
    </row>
    <row r="66" spans="1:5" s="176" customFormat="1" ht="22.5" x14ac:dyDescent="0.25">
      <c r="A66" s="177" t="s">
        <v>160</v>
      </c>
      <c r="B66" s="178" t="s">
        <v>162</v>
      </c>
      <c r="C66" s="180">
        <v>4000000000</v>
      </c>
      <c r="D66" s="180">
        <v>3765836602</v>
      </c>
      <c r="E66" s="180">
        <v>2674958687.1199999</v>
      </c>
    </row>
    <row r="67" spans="1:5" s="176" customFormat="1" ht="22.5" x14ac:dyDescent="0.25">
      <c r="A67" s="177" t="s">
        <v>163</v>
      </c>
      <c r="B67" s="178" t="s">
        <v>164</v>
      </c>
      <c r="C67" s="180">
        <v>7500000000</v>
      </c>
      <c r="D67" s="180">
        <v>7354240500</v>
      </c>
      <c r="E67" s="180">
        <v>2960525458</v>
      </c>
    </row>
    <row r="68" spans="1:5" s="176" customFormat="1" ht="33.75" x14ac:dyDescent="0.25">
      <c r="A68" s="177" t="s">
        <v>165</v>
      </c>
      <c r="B68" s="178" t="s">
        <v>167</v>
      </c>
      <c r="C68" s="180">
        <v>1432000000</v>
      </c>
      <c r="D68" s="180">
        <v>635526551</v>
      </c>
      <c r="E68" s="180">
        <v>359210007</v>
      </c>
    </row>
    <row r="69" spans="1:5" s="176" customFormat="1" x14ac:dyDescent="0.25">
      <c r="A69" s="233" t="s">
        <v>1</v>
      </c>
      <c r="B69" s="236" t="s">
        <v>271</v>
      </c>
      <c r="C69" s="237">
        <v>937737459623</v>
      </c>
      <c r="D69" s="237">
        <v>761203155608.81995</v>
      </c>
      <c r="E69" s="237">
        <v>400811535448.71997</v>
      </c>
    </row>
    <row r="70" spans="1:5" s="163" customFormat="1" ht="0" hidden="1" customHeight="1" x14ac:dyDescent="0.25">
      <c r="A70" s="234"/>
    </row>
    <row r="71" spans="1:5" s="163" customFormat="1" ht="13.5" customHeight="1" x14ac:dyDescent="0.25">
      <c r="A71" s="234"/>
    </row>
  </sheetData>
  <mergeCells count="1">
    <mergeCell ref="B2:E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7"/>
  <sheetViews>
    <sheetView workbookViewId="0">
      <selection activeCell="E82" sqref="E82"/>
    </sheetView>
  </sheetViews>
  <sheetFormatPr baseColWidth="10" defaultRowHeight="14.25" x14ac:dyDescent="0.2"/>
  <cols>
    <col min="1" max="1" width="5.42578125" style="21" customWidth="1"/>
    <col min="2" max="2" width="4.28515625" style="21" customWidth="1"/>
    <col min="3" max="3" width="5.85546875" style="21" customWidth="1"/>
    <col min="4" max="4" width="27.5703125" style="21" customWidth="1"/>
    <col min="5" max="5" width="23.85546875" style="21" customWidth="1"/>
    <col min="6" max="6" width="20.28515625" style="21" customWidth="1"/>
    <col min="7" max="7" width="18.7109375" style="21" customWidth="1"/>
    <col min="8" max="8" width="18.140625" style="21" customWidth="1"/>
    <col min="9" max="9" width="16" style="21" customWidth="1"/>
    <col min="10" max="10" width="24.7109375" style="21" hidden="1" customWidth="1"/>
    <col min="11" max="11" width="11.5703125" style="21" hidden="1" customWidth="1"/>
    <col min="12" max="12" width="18.28515625" style="21" hidden="1" customWidth="1"/>
    <col min="13" max="13" width="19.5703125" style="21" hidden="1" customWidth="1"/>
    <col min="14" max="14" width="13.42578125" style="21" customWidth="1"/>
    <col min="15" max="15" width="28.140625" style="21" hidden="1" customWidth="1"/>
    <col min="16" max="16" width="10.28515625" style="48" customWidth="1"/>
    <col min="17" max="17" width="11.5703125" style="21" bestFit="1" customWidth="1"/>
    <col min="18" max="19" width="18.85546875" style="21" hidden="1" customWidth="1"/>
    <col min="20" max="20" width="18" style="21" hidden="1" customWidth="1"/>
    <col min="21" max="21" width="8.85546875" style="48" customWidth="1"/>
    <col min="22" max="22" width="10" style="21" customWidth="1"/>
    <col min="23" max="23" width="15.5703125" style="21" bestFit="1" customWidth="1"/>
    <col min="24" max="24" width="14.140625" style="21" hidden="1" customWidth="1"/>
    <col min="25" max="25" width="11.5703125" style="21" hidden="1" customWidth="1"/>
    <col min="26" max="26" width="11.42578125" style="21" hidden="1" customWidth="1"/>
    <col min="27" max="27" width="9.140625" style="21" hidden="1" customWidth="1"/>
    <col min="28" max="28" width="11.42578125" style="21"/>
    <col min="29" max="29" width="16.85546875" style="21" hidden="1" customWidth="1"/>
    <col min="30" max="30" width="18" style="21" hidden="1" customWidth="1"/>
    <col min="31" max="32" width="11.42578125" style="21" hidden="1" customWidth="1"/>
    <col min="33" max="33" width="0" style="21" hidden="1" customWidth="1"/>
    <col min="34" max="34" width="11.42578125" style="21"/>
    <col min="35" max="35" width="16.42578125" style="21" bestFit="1" customWidth="1"/>
    <col min="36" max="16384" width="11.42578125" style="21"/>
  </cols>
  <sheetData>
    <row r="1" spans="3:33" ht="28.5" customHeight="1" x14ac:dyDescent="0.2">
      <c r="C1" s="184" t="s">
        <v>242</v>
      </c>
      <c r="D1" s="185"/>
      <c r="E1" s="20" t="s">
        <v>1</v>
      </c>
      <c r="F1" s="20" t="s">
        <v>1</v>
      </c>
      <c r="G1" s="20" t="s">
        <v>1</v>
      </c>
      <c r="H1" s="21">
        <f>'SIIF Ejecución  '!$E$2</f>
        <v>0</v>
      </c>
      <c r="J1" s="20" t="s">
        <v>1</v>
      </c>
      <c r="K1" s="20"/>
      <c r="L1" s="20" t="s">
        <v>1</v>
      </c>
      <c r="M1" s="20"/>
      <c r="O1" s="20"/>
      <c r="P1" s="57">
        <v>1000000</v>
      </c>
      <c r="Q1" s="20" t="s">
        <v>1</v>
      </c>
      <c r="R1" s="20" t="s">
        <v>1</v>
      </c>
      <c r="S1" s="20"/>
      <c r="T1" s="20"/>
      <c r="U1" s="41"/>
      <c r="V1" s="20"/>
      <c r="W1" s="20"/>
    </row>
    <row r="2" spans="3:33" x14ac:dyDescent="0.2"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41"/>
      <c r="Q2" s="20"/>
      <c r="R2" s="20"/>
      <c r="S2" s="20"/>
      <c r="T2" s="20"/>
      <c r="U2" s="41"/>
      <c r="V2" s="20"/>
      <c r="W2" s="20"/>
    </row>
    <row r="3" spans="3:33" ht="16.5" customHeight="1" x14ac:dyDescent="0.25">
      <c r="D3" s="186" t="s">
        <v>193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5"/>
      <c r="P3" s="42"/>
      <c r="Q3" s="22" t="s">
        <v>1</v>
      </c>
      <c r="R3" s="22" t="s">
        <v>1</v>
      </c>
      <c r="S3" s="22"/>
      <c r="T3" s="22"/>
      <c r="U3" s="49"/>
      <c r="V3" s="22"/>
      <c r="W3" s="22"/>
      <c r="X3" s="193" t="s">
        <v>208</v>
      </c>
      <c r="Y3" s="194"/>
    </row>
    <row r="4" spans="3:33" ht="21.75" customHeight="1" x14ac:dyDescent="0.2">
      <c r="D4" s="23" t="s">
        <v>18</v>
      </c>
      <c r="E4" s="23" t="s">
        <v>19</v>
      </c>
      <c r="F4" s="23" t="s">
        <v>20</v>
      </c>
      <c r="G4" s="23" t="s">
        <v>21</v>
      </c>
      <c r="H4" s="23" t="s">
        <v>22</v>
      </c>
      <c r="I4" s="23" t="s">
        <v>23</v>
      </c>
      <c r="J4" s="23" t="s">
        <v>24</v>
      </c>
      <c r="K4" s="23" t="s">
        <v>24</v>
      </c>
      <c r="L4" s="23" t="s">
        <v>25</v>
      </c>
      <c r="M4" s="23" t="s">
        <v>26</v>
      </c>
      <c r="N4" s="23" t="s">
        <v>26</v>
      </c>
      <c r="O4" s="23" t="s">
        <v>27</v>
      </c>
      <c r="P4" s="43" t="s">
        <v>194</v>
      </c>
      <c r="Q4" s="23" t="s">
        <v>27</v>
      </c>
      <c r="R4" s="23" t="s">
        <v>28</v>
      </c>
      <c r="S4" s="23" t="s">
        <v>28</v>
      </c>
      <c r="T4" s="23" t="s">
        <v>29</v>
      </c>
      <c r="U4" s="43" t="s">
        <v>194</v>
      </c>
      <c r="V4" s="23" t="s">
        <v>29</v>
      </c>
      <c r="W4" s="26" t="s">
        <v>25</v>
      </c>
      <c r="X4" s="68" t="s">
        <v>168</v>
      </c>
      <c r="Y4" s="68" t="s">
        <v>169</v>
      </c>
      <c r="Z4" s="58" t="e">
        <f>+Z5+Z13+Z15+Z19</f>
        <v>#REF!</v>
      </c>
      <c r="AA4" s="58" t="e">
        <f>+AA5+AA13+AA15+AA19</f>
        <v>#REF!</v>
      </c>
    </row>
    <row r="5" spans="3:33" ht="22.5" x14ac:dyDescent="0.2">
      <c r="C5" s="190" t="s">
        <v>206</v>
      </c>
      <c r="D5" s="30" t="s">
        <v>39</v>
      </c>
      <c r="E5" s="32" t="e">
        <f>'SIIF Ejecución  '!#REF!/$P$1</f>
        <v>#REF!</v>
      </c>
      <c r="F5" s="32" t="e">
        <f>'SIIF Ejecución  '!#REF!/$P$1</f>
        <v>#REF!</v>
      </c>
      <c r="G5" s="32" t="e">
        <f>'SIIF Ejecución  '!#REF!/$P$1</f>
        <v>#REF!</v>
      </c>
      <c r="H5" s="31">
        <f>'SIIF Ejecución  '!C6/$P$1</f>
        <v>93549.814327</v>
      </c>
      <c r="I5" s="31" t="e">
        <f>'SIIF Ejecución  '!#REF!/'ejecucion OAP'!$P$1</f>
        <v>#REF!</v>
      </c>
      <c r="J5" s="31" t="e">
        <f>'SIIF Ejecución  '!#REF!</f>
        <v>#REF!</v>
      </c>
      <c r="K5" s="32" t="e">
        <f>+J5/$P$1</f>
        <v>#REF!</v>
      </c>
      <c r="L5" s="31" t="e">
        <f>'SIIF Ejecución  '!#REF!</f>
        <v>#REF!</v>
      </c>
      <c r="M5" s="31">
        <f>+'SIIF Ejecución  '!D6</f>
        <v>61592796475</v>
      </c>
      <c r="N5" s="31">
        <f>'SIIF Ejecución  '!D6/'ejecucion OAP'!$P$1</f>
        <v>61592.796475000003</v>
      </c>
      <c r="O5" s="31">
        <f>+'SIIF Ejecución  '!E6</f>
        <v>61592494795</v>
      </c>
      <c r="P5" s="44">
        <f>+N5/H5</f>
        <v>0.65839571054309742</v>
      </c>
      <c r="Q5" s="31">
        <f>'SIIF Ejecución  '!E6/'ejecucion OAP'!$P$1</f>
        <v>61592.494794999999</v>
      </c>
      <c r="R5" s="31">
        <v>6116973215</v>
      </c>
      <c r="S5" s="31">
        <v>6116.973215</v>
      </c>
      <c r="T5" s="31">
        <v>6116973215</v>
      </c>
      <c r="U5" s="46">
        <f t="shared" ref="U5:U22" si="0">+Q5/H5</f>
        <v>0.65839248573712461</v>
      </c>
      <c r="V5" s="32" t="e">
        <f>'SIIF Ejecución  '!#REF!/'ejecucion OAP'!$P$1</f>
        <v>#REF!</v>
      </c>
      <c r="W5" s="31" t="e">
        <f>'SIIF Ejecución  '!#REF!/'ejecucion OAP'!$P$1</f>
        <v>#REF!</v>
      </c>
      <c r="X5" s="69">
        <f>+H5-N5</f>
        <v>31957.017851999997</v>
      </c>
      <c r="Y5" s="69">
        <f>+H5-Q5</f>
        <v>31957.319532000001</v>
      </c>
      <c r="Z5" s="196">
        <f>+X5+X6+X7+X8+X9+X10+X12</f>
        <v>85351.735232999999</v>
      </c>
      <c r="AA5" s="196">
        <f>+Y5+Y6+Y7+Y8+Y9+Y10+Y12</f>
        <v>88144.263092000008</v>
      </c>
      <c r="AC5" s="58" t="e">
        <f>+L5-'SIIF Ejecución  '!#REF!</f>
        <v>#REF!</v>
      </c>
      <c r="AD5" s="58"/>
    </row>
    <row r="6" spans="3:33" ht="15" customHeight="1" x14ac:dyDescent="0.2">
      <c r="C6" s="190"/>
      <c r="D6" s="30" t="s">
        <v>42</v>
      </c>
      <c r="E6" s="32" t="e">
        <f>'SIIF Ejecución  '!#REF!/$P$1</f>
        <v>#REF!</v>
      </c>
      <c r="F6" s="32" t="e">
        <f>'SIIF Ejecución  '!#REF!/$P$1</f>
        <v>#REF!</v>
      </c>
      <c r="G6" s="32" t="e">
        <f>'SIIF Ejecución  '!#REF!/$P$1</f>
        <v>#REF!</v>
      </c>
      <c r="H6" s="31">
        <f>'SIIF Ejecución  '!C7/$P$1</f>
        <v>1407.7506969999999</v>
      </c>
      <c r="I6" s="32" t="e">
        <f>'SIIF Ejecución  '!#REF!/'ejecucion OAP'!$P$1</f>
        <v>#REF!</v>
      </c>
      <c r="J6" s="32" t="e">
        <f>'SIIF Ejecución  '!#REF!</f>
        <v>#REF!</v>
      </c>
      <c r="K6" s="32" t="e">
        <f t="shared" ref="K6:K22" si="1">+J6/$P$1</f>
        <v>#REF!</v>
      </c>
      <c r="L6" s="31" t="e">
        <f>'SIIF Ejecución  '!#REF!</f>
        <v>#REF!</v>
      </c>
      <c r="M6" s="31">
        <f>+'SIIF Ejecución  '!D7</f>
        <v>865522468</v>
      </c>
      <c r="N6" s="32">
        <f>'SIIF Ejecución  '!D7/'ejecucion OAP'!$P$1</f>
        <v>865.522468</v>
      </c>
      <c r="O6" s="32">
        <f>+'SIIF Ejecución  '!E7</f>
        <v>865522468</v>
      </c>
      <c r="P6" s="44">
        <f t="shared" ref="P6:P22" si="2">+N6/H6</f>
        <v>0.61482652421659578</v>
      </c>
      <c r="Q6" s="32">
        <f>'SIIF Ejecución  '!E7/'ejecucion OAP'!$P$1</f>
        <v>865.522468</v>
      </c>
      <c r="R6" s="31">
        <v>87414422</v>
      </c>
      <c r="S6" s="31">
        <v>87.414422000000002</v>
      </c>
      <c r="T6" s="31">
        <v>87414422</v>
      </c>
      <c r="U6" s="46">
        <f t="shared" si="0"/>
        <v>0.61482652421659578</v>
      </c>
      <c r="V6" s="32" t="e">
        <f>'SIIF Ejecución  '!#REF!/'ejecucion OAP'!$P$1</f>
        <v>#REF!</v>
      </c>
      <c r="W6" s="32" t="e">
        <f>'SIIF Ejecución  '!#REF!/'ejecucion OAP'!$P$1</f>
        <v>#REF!</v>
      </c>
      <c r="X6" s="69">
        <f t="shared" ref="X6:X20" si="3">+H6-N6</f>
        <v>542.22822899999994</v>
      </c>
      <c r="Y6" s="69">
        <f t="shared" ref="Y6:Y20" si="4">+H6-Q6</f>
        <v>542.22822899999994</v>
      </c>
      <c r="Z6" s="197"/>
      <c r="AA6" s="197"/>
      <c r="AC6" s="58" t="e">
        <f>+L6-'SIIF Ejecución  '!#REF!</f>
        <v>#REF!</v>
      </c>
      <c r="AD6" s="58">
        <f>SUM(H5:H12)</f>
        <v>255094.72706599999</v>
      </c>
      <c r="AE6" s="58">
        <f>SUM(N5:N12)</f>
        <v>169742.99183300001</v>
      </c>
      <c r="AF6" s="58">
        <f>SUM(Q5:Q12)</f>
        <v>166950.46397400001</v>
      </c>
      <c r="AG6" s="58" t="e">
        <f>SUM(W5:W12)</f>
        <v>#REF!</v>
      </c>
    </row>
    <row r="7" spans="3:33" ht="15" customHeight="1" x14ac:dyDescent="0.2">
      <c r="C7" s="190"/>
      <c r="D7" s="30" t="s">
        <v>45</v>
      </c>
      <c r="E7" s="32" t="e">
        <f>'SIIF Ejecución  '!#REF!/$P$1</f>
        <v>#REF!</v>
      </c>
      <c r="F7" s="32" t="e">
        <f>'SIIF Ejecución  '!#REF!/$P$1</f>
        <v>#REF!</v>
      </c>
      <c r="G7" s="32" t="e">
        <f>'SIIF Ejecución  '!#REF!/$P$1</f>
        <v>#REF!</v>
      </c>
      <c r="H7" s="31">
        <f>'SIIF Ejecución  '!C8/$P$1</f>
        <v>77220.703395999997</v>
      </c>
      <c r="I7" s="32" t="e">
        <f>'SIIF Ejecución  '!#REF!/'ejecucion OAP'!$P$1</f>
        <v>#REF!</v>
      </c>
      <c r="J7" s="32" t="e">
        <f>'SIIF Ejecución  '!#REF!</f>
        <v>#REF!</v>
      </c>
      <c r="K7" s="32" t="e">
        <f t="shared" si="1"/>
        <v>#REF!</v>
      </c>
      <c r="L7" s="31" t="e">
        <f>'SIIF Ejecución  '!#REF!</f>
        <v>#REF!</v>
      </c>
      <c r="M7" s="31">
        <f>+'SIIF Ejecución  '!D8</f>
        <v>46309682457</v>
      </c>
      <c r="N7" s="32">
        <f>'SIIF Ejecución  '!D8/'ejecucion OAP'!$P$1</f>
        <v>46309.682457000003</v>
      </c>
      <c r="O7" s="32">
        <f>+'SIIF Ejecución  '!E8</f>
        <v>46309412955</v>
      </c>
      <c r="P7" s="44">
        <f t="shared" si="2"/>
        <v>0.59970552481912287</v>
      </c>
      <c r="Q7" s="32">
        <f>'SIIF Ejecución  '!E8/'ejecucion OAP'!$P$1</f>
        <v>46309.412955</v>
      </c>
      <c r="R7" s="31">
        <v>5848096417</v>
      </c>
      <c r="S7" s="31">
        <v>5848.0964169999997</v>
      </c>
      <c r="T7" s="31">
        <v>5848096417</v>
      </c>
      <c r="U7" s="46">
        <f t="shared" si="0"/>
        <v>0.5997020347965234</v>
      </c>
      <c r="V7" s="32" t="e">
        <f>'SIIF Ejecución  '!#REF!/'ejecucion OAP'!$P$1</f>
        <v>#REF!</v>
      </c>
      <c r="W7" s="32" t="e">
        <f>'SIIF Ejecución  '!#REF!/'ejecucion OAP'!$P$1</f>
        <v>#REF!</v>
      </c>
      <c r="X7" s="69">
        <f t="shared" si="3"/>
        <v>30911.020938999995</v>
      </c>
      <c r="Y7" s="69">
        <f t="shared" si="4"/>
        <v>30911.290440999997</v>
      </c>
      <c r="Z7" s="197"/>
      <c r="AA7" s="197"/>
      <c r="AC7" s="58" t="e">
        <f>+L7-'SIIF Ejecución  '!#REF!</f>
        <v>#REF!</v>
      </c>
      <c r="AD7" s="58">
        <f>SUM(H13:H14)</f>
        <v>34574.906999999999</v>
      </c>
      <c r="AE7" s="58">
        <f>SUM(N13:N14)</f>
        <v>27194.106594999997</v>
      </c>
      <c r="AF7" s="58">
        <f>SUM(Q13:Q14)</f>
        <v>19823.841346999998</v>
      </c>
      <c r="AG7" s="58" t="e">
        <f>SUM(W13:W14)</f>
        <v>#REF!</v>
      </c>
    </row>
    <row r="8" spans="3:33" ht="22.5" x14ac:dyDescent="0.2">
      <c r="C8" s="190"/>
      <c r="D8" s="30" t="s">
        <v>48</v>
      </c>
      <c r="E8" s="32" t="e">
        <f>'SIIF Ejecución  '!#REF!/$P$1</f>
        <v>#REF!</v>
      </c>
      <c r="F8" s="32" t="e">
        <f>'SIIF Ejecución  '!#REF!/$P$1</f>
        <v>#REF!</v>
      </c>
      <c r="G8" s="32" t="e">
        <f>'SIIF Ejecución  '!#REF!/$P$1</f>
        <v>#REF!</v>
      </c>
      <c r="H8" s="31">
        <f>'SIIF Ejecución  '!C9/$P$1</f>
        <v>15866.178233000001</v>
      </c>
      <c r="I8" s="32" t="e">
        <f>'SIIF Ejecución  '!#REF!/'ejecucion OAP'!$P$1</f>
        <v>#REF!</v>
      </c>
      <c r="J8" s="32" t="e">
        <f>'SIIF Ejecución  '!#REF!</f>
        <v>#REF!</v>
      </c>
      <c r="K8" s="32" t="e">
        <f t="shared" si="1"/>
        <v>#REF!</v>
      </c>
      <c r="L8" s="31" t="e">
        <f>'SIIF Ejecución  '!#REF!</f>
        <v>#REF!</v>
      </c>
      <c r="M8" s="31">
        <f>+'SIIF Ejecución  '!D9</f>
        <v>9690618680</v>
      </c>
      <c r="N8" s="32">
        <f>'SIIF Ejecución  '!D9/'ejecucion OAP'!$P$1</f>
        <v>9690.6186799999996</v>
      </c>
      <c r="O8" s="32">
        <f>+'SIIF Ejecución  '!E9</f>
        <v>9690618680</v>
      </c>
      <c r="P8" s="44">
        <f t="shared" si="2"/>
        <v>0.61077207993570382</v>
      </c>
      <c r="Q8" s="32">
        <f>'SIIF Ejecución  '!E9/'ejecucion OAP'!$P$1</f>
        <v>9690.6186799999996</v>
      </c>
      <c r="R8" s="31">
        <v>1073650707</v>
      </c>
      <c r="S8" s="31">
        <v>1073.650707</v>
      </c>
      <c r="T8" s="31">
        <v>1073650707</v>
      </c>
      <c r="U8" s="46">
        <f t="shared" si="0"/>
        <v>0.61077207993570382</v>
      </c>
      <c r="V8" s="32" t="e">
        <f>'SIIF Ejecución  '!#REF!/'ejecucion OAP'!$P$1</f>
        <v>#REF!</v>
      </c>
      <c r="W8" s="32" t="e">
        <f>'SIIF Ejecución  '!#REF!/'ejecucion OAP'!$P$1</f>
        <v>#REF!</v>
      </c>
      <c r="X8" s="69">
        <f t="shared" si="3"/>
        <v>6175.559553000001</v>
      </c>
      <c r="Y8" s="69">
        <f t="shared" si="4"/>
        <v>6175.559553000001</v>
      </c>
      <c r="Z8" s="197"/>
      <c r="AA8" s="197"/>
      <c r="AC8" s="58" t="e">
        <f>+L8-'SIIF Ejecución  '!#REF!</f>
        <v>#REF!</v>
      </c>
      <c r="AD8" s="58">
        <f>SUM(H15:H18)</f>
        <v>21222.400000000001</v>
      </c>
      <c r="AE8" s="58">
        <f>SUM(N15:N18)</f>
        <v>11661.106373000001</v>
      </c>
      <c r="AF8" s="58">
        <f>SUM(Q15:Q18)</f>
        <v>11659.770375</v>
      </c>
      <c r="AG8" s="58" t="e">
        <f>SUM(W15:W18)</f>
        <v>#REF!</v>
      </c>
    </row>
    <row r="9" spans="3:33" ht="22.5" x14ac:dyDescent="0.2">
      <c r="C9" s="190"/>
      <c r="D9" s="30" t="s">
        <v>51</v>
      </c>
      <c r="E9" s="32" t="e">
        <f>'SIIF Ejecución  '!#REF!/$P$1</f>
        <v>#REF!</v>
      </c>
      <c r="F9" s="32" t="e">
        <f>'SIIF Ejecución  '!#REF!/$P$1</f>
        <v>#REF!</v>
      </c>
      <c r="G9" s="32" t="e">
        <f>'SIIF Ejecución  '!#REF!/$P$1</f>
        <v>#REF!</v>
      </c>
      <c r="H9" s="31">
        <f>'SIIF Ejecución  '!C10/$P$1</f>
        <v>0</v>
      </c>
      <c r="I9" s="32" t="e">
        <f>'SIIF Ejecución  '!#REF!/'ejecucion OAP'!$P$1</f>
        <v>#REF!</v>
      </c>
      <c r="J9" s="32" t="e">
        <f>'SIIF Ejecución  '!#REF!</f>
        <v>#REF!</v>
      </c>
      <c r="K9" s="32" t="e">
        <f t="shared" si="1"/>
        <v>#REF!</v>
      </c>
      <c r="L9" s="32" t="e">
        <f t="shared" ref="L9:U9" si="5">+K9/$P$1</f>
        <v>#REF!</v>
      </c>
      <c r="M9" s="32">
        <f>+'SIIF Ejecución  '!D10</f>
        <v>0</v>
      </c>
      <c r="N9" s="32">
        <f>'SIIF Ejecución  '!D10/'ejecucion OAP'!$P$1</f>
        <v>0</v>
      </c>
      <c r="O9" s="32">
        <f>+'SIIF Ejecución  '!E10</f>
        <v>0</v>
      </c>
      <c r="P9" s="32">
        <f t="shared" si="5"/>
        <v>0</v>
      </c>
      <c r="Q9" s="32">
        <f>'SIIF Ejecución  '!E10/'ejecucion OAP'!$P$1</f>
        <v>0</v>
      </c>
      <c r="R9" s="32">
        <f t="shared" si="5"/>
        <v>0</v>
      </c>
      <c r="S9" s="32">
        <f t="shared" si="5"/>
        <v>0</v>
      </c>
      <c r="T9" s="32">
        <f t="shared" si="5"/>
        <v>0</v>
      </c>
      <c r="U9" s="32">
        <f t="shared" si="5"/>
        <v>0</v>
      </c>
      <c r="V9" s="32" t="e">
        <f>'SIIF Ejecución  '!#REF!/'ejecucion OAP'!$P$1</f>
        <v>#REF!</v>
      </c>
      <c r="W9" s="32" t="e">
        <f>'SIIF Ejecución  '!#REF!/'ejecucion OAP'!$P$1</f>
        <v>#REF!</v>
      </c>
      <c r="X9" s="69">
        <f t="shared" si="3"/>
        <v>0</v>
      </c>
      <c r="Y9" s="69">
        <f t="shared" si="4"/>
        <v>0</v>
      </c>
      <c r="Z9" s="197"/>
      <c r="AA9" s="197"/>
      <c r="AC9" s="58" t="e">
        <f>+L9-'SIIF Ejecución  '!#REF!</f>
        <v>#REF!</v>
      </c>
      <c r="AD9" s="58">
        <f>SUM(H19:H20)</f>
        <v>21260.600000000002</v>
      </c>
      <c r="AE9" s="58">
        <f>SUM(N19:N20)</f>
        <v>19719.969875999999</v>
      </c>
      <c r="AF9" s="58">
        <f>SUM(Q19:Q20)</f>
        <v>19717.376272000001</v>
      </c>
      <c r="AG9" s="58" t="e">
        <f>SUM(W19:W20)</f>
        <v>#REF!</v>
      </c>
    </row>
    <row r="10" spans="3:33" ht="22.5" x14ac:dyDescent="0.2">
      <c r="C10" s="190"/>
      <c r="D10" s="30" t="s">
        <v>54</v>
      </c>
      <c r="E10" s="32" t="e">
        <f>'SIIF Ejecución  '!#REF!/$P$1</f>
        <v>#REF!</v>
      </c>
      <c r="F10" s="32" t="e">
        <f>'SIIF Ejecución  '!#REF!/$P$1</f>
        <v>#REF!</v>
      </c>
      <c r="G10" s="32" t="e">
        <f>'SIIF Ejecución  '!#REF!/$P$1</f>
        <v>#REF!</v>
      </c>
      <c r="H10" s="31">
        <f>'SIIF Ejecución  '!C11/$P$1</f>
        <v>6501.6173749999998</v>
      </c>
      <c r="I10" s="32" t="e">
        <f>'SIIF Ejecución  '!#REF!/'ejecucion OAP'!$P$1</f>
        <v>#REF!</v>
      </c>
      <c r="J10" s="32" t="e">
        <f>'SIIF Ejecución  '!#REF!</f>
        <v>#REF!</v>
      </c>
      <c r="K10" s="32" t="e">
        <f t="shared" si="1"/>
        <v>#REF!</v>
      </c>
      <c r="L10" s="31" t="e">
        <f>'SIIF Ejecución  '!#REF!</f>
        <v>#REF!</v>
      </c>
      <c r="M10" s="31">
        <f>+'SIIF Ejecución  '!D11</f>
        <v>6439251399</v>
      </c>
      <c r="N10" s="32">
        <f>'SIIF Ejecución  '!D11/'ejecucion OAP'!$P$1</f>
        <v>6439.2513989999998</v>
      </c>
      <c r="O10" s="32">
        <f>+'SIIF Ejecución  '!E11</f>
        <v>3648027543</v>
      </c>
      <c r="P10" s="44">
        <f t="shared" si="2"/>
        <v>0.99040762130361448</v>
      </c>
      <c r="Q10" s="32">
        <f>'SIIF Ejecución  '!E11/'ejecucion OAP'!$P$1</f>
        <v>3648.0275430000002</v>
      </c>
      <c r="R10" s="31">
        <v>158300387</v>
      </c>
      <c r="S10" s="31">
        <v>158.300387</v>
      </c>
      <c r="T10" s="31">
        <v>132542367</v>
      </c>
      <c r="U10" s="46">
        <f t="shared" si="0"/>
        <v>0.5610953909756955</v>
      </c>
      <c r="V10" s="32" t="e">
        <f>'SIIF Ejecución  '!#REF!/'ejecucion OAP'!$P$1</f>
        <v>#REF!</v>
      </c>
      <c r="W10" s="32" t="e">
        <f>'SIIF Ejecución  '!#REF!/'ejecucion OAP'!$P$1</f>
        <v>#REF!</v>
      </c>
      <c r="X10" s="69">
        <f t="shared" si="3"/>
        <v>62.365976000000046</v>
      </c>
      <c r="Y10" s="69">
        <f t="shared" si="4"/>
        <v>2853.5898319999997</v>
      </c>
      <c r="Z10" s="197"/>
      <c r="AA10" s="197"/>
      <c r="AC10" s="58" t="e">
        <f>+L10-'SIIF Ejecución  '!#REF!</f>
        <v>#REF!</v>
      </c>
    </row>
    <row r="11" spans="3:33" ht="22.5" x14ac:dyDescent="0.2">
      <c r="C11" s="190"/>
      <c r="D11" s="71" t="s">
        <v>262</v>
      </c>
      <c r="E11" s="32" t="e">
        <f>'SIIF Ejecución  '!#REF!/$P$1</f>
        <v>#REF!</v>
      </c>
      <c r="F11" s="32" t="e">
        <f>'SIIF Ejecución  '!#REF!/$P$1</f>
        <v>#REF!</v>
      </c>
      <c r="G11" s="32" t="e">
        <f>'SIIF Ejecución  '!#REF!/$P$1</f>
        <v>#REF!</v>
      </c>
      <c r="H11" s="32">
        <f>'SIIF Ejecución  '!C12/$P$1</f>
        <v>34.799999999999997</v>
      </c>
      <c r="I11" s="32"/>
      <c r="J11" s="32"/>
      <c r="K11" s="32"/>
      <c r="L11" s="32"/>
      <c r="M11" s="32"/>
      <c r="N11" s="32">
        <f>'SIIF Ejecución  '!D12/'ejecucion OAP'!$P$1</f>
        <v>34.799999999999997</v>
      </c>
      <c r="O11" s="32"/>
      <c r="P11" s="44">
        <f t="shared" si="2"/>
        <v>1</v>
      </c>
      <c r="Q11" s="32">
        <f>'SIIF Ejecución  '!E12/'ejecucion OAP'!$P$1</f>
        <v>34.799999999999997</v>
      </c>
      <c r="R11" s="32"/>
      <c r="S11" s="32"/>
      <c r="T11" s="32"/>
      <c r="U11" s="46">
        <f t="shared" si="0"/>
        <v>1</v>
      </c>
      <c r="V11" s="32" t="e">
        <f>'SIIF Ejecución  '!#REF!/'ejecucion OAP'!$P$1</f>
        <v>#REF!</v>
      </c>
      <c r="W11" s="32" t="e">
        <f>'SIIF Ejecución  '!#REF!/'ejecucion OAP'!$P$1</f>
        <v>#REF!</v>
      </c>
      <c r="X11" s="69"/>
      <c r="Y11" s="69"/>
      <c r="Z11" s="197"/>
      <c r="AA11" s="197"/>
      <c r="AC11" s="58"/>
    </row>
    <row r="12" spans="3:33" ht="33.75" x14ac:dyDescent="0.2">
      <c r="C12" s="190"/>
      <c r="D12" s="30" t="s">
        <v>56</v>
      </c>
      <c r="E12" s="32" t="e">
        <f>'SIIF Ejecución  '!#REF!/$P$1</f>
        <v>#REF!</v>
      </c>
      <c r="F12" s="32" t="e">
        <f>'SIIF Ejecución  '!#REF!/$P$1</f>
        <v>#REF!</v>
      </c>
      <c r="G12" s="32" t="e">
        <f>'SIIF Ejecución  '!#REF!/$P$1</f>
        <v>#REF!</v>
      </c>
      <c r="H12" s="31">
        <f>'SIIF Ejecución  '!C13/$P$1</f>
        <v>60513.863038000003</v>
      </c>
      <c r="I12" s="32" t="e">
        <f>'SIIF Ejecución  '!#REF!/'ejecucion OAP'!$P$1</f>
        <v>#REF!</v>
      </c>
      <c r="J12" s="32" t="e">
        <f>'SIIF Ejecución  '!#REF!</f>
        <v>#REF!</v>
      </c>
      <c r="K12" s="32" t="e">
        <f t="shared" si="1"/>
        <v>#REF!</v>
      </c>
      <c r="L12" s="31" t="e">
        <f>'SIIF Ejecución  '!#REF!</f>
        <v>#REF!</v>
      </c>
      <c r="M12" s="31">
        <f>+'SIIF Ejecución  '!D13</f>
        <v>44810320354</v>
      </c>
      <c r="N12" s="32">
        <f>'SIIF Ejecución  '!D13/'ejecucion OAP'!$P$1</f>
        <v>44810.320354000003</v>
      </c>
      <c r="O12" s="32">
        <f>+'SIIF Ejecución  '!E13</f>
        <v>44809587533</v>
      </c>
      <c r="P12" s="44">
        <f t="shared" si="2"/>
        <v>0.74049677386917312</v>
      </c>
      <c r="Q12" s="32">
        <f>'SIIF Ejecución  '!E13/'ejecucion OAP'!$P$1</f>
        <v>44809.587532999998</v>
      </c>
      <c r="R12" s="31">
        <v>4394583571</v>
      </c>
      <c r="S12" s="31">
        <v>4394.5835710000001</v>
      </c>
      <c r="T12" s="31">
        <v>4394583571</v>
      </c>
      <c r="U12" s="46">
        <f t="shared" si="0"/>
        <v>0.74048466390026324</v>
      </c>
      <c r="V12" s="32" t="e">
        <f>'SIIF Ejecución  '!#REF!/'ejecucion OAP'!$P$1</f>
        <v>#REF!</v>
      </c>
      <c r="W12" s="32" t="e">
        <f>'SIIF Ejecución  '!#REF!/'ejecucion OAP'!$P$1</f>
        <v>#REF!</v>
      </c>
      <c r="X12" s="69">
        <f t="shared" si="3"/>
        <v>15703.542684</v>
      </c>
      <c r="Y12" s="69">
        <f t="shared" si="4"/>
        <v>15704.275505000005</v>
      </c>
      <c r="Z12" s="197"/>
      <c r="AA12" s="197"/>
      <c r="AC12" s="58" t="e">
        <f>+L12-'SIIF Ejecución  '!#REF!</f>
        <v>#REF!</v>
      </c>
    </row>
    <row r="13" spans="3:33" ht="21.75" customHeight="1" x14ac:dyDescent="0.2">
      <c r="C13" s="195" t="s">
        <v>207</v>
      </c>
      <c r="D13" s="30" t="s">
        <v>59</v>
      </c>
      <c r="E13" s="32" t="e">
        <f>'SIIF Ejecución  '!#REF!/$P$1</f>
        <v>#REF!</v>
      </c>
      <c r="F13" s="32" t="e">
        <f>'SIIF Ejecución  '!#REF!/$P$1</f>
        <v>#REF!</v>
      </c>
      <c r="G13" s="32" t="e">
        <f>'SIIF Ejecución  '!#REF!/$P$1</f>
        <v>#REF!</v>
      </c>
      <c r="H13" s="31">
        <f>'SIIF Ejecución  '!C15/$P$1</f>
        <v>243.6</v>
      </c>
      <c r="I13" s="32" t="e">
        <f>'SIIF Ejecución  '!#REF!/'ejecucion OAP'!$P$1</f>
        <v>#REF!</v>
      </c>
      <c r="J13" s="32" t="e">
        <f>'SIIF Ejecución  '!#REF!</f>
        <v>#REF!</v>
      </c>
      <c r="K13" s="32" t="e">
        <f t="shared" si="1"/>
        <v>#REF!</v>
      </c>
      <c r="L13" s="31" t="e">
        <f>'SIIF Ejecución  '!#REF!</f>
        <v>#REF!</v>
      </c>
      <c r="M13" s="31">
        <f>+'SIIF Ejecución  '!D15</f>
        <v>6756734</v>
      </c>
      <c r="N13" s="32">
        <f>'SIIF Ejecución  '!D15/'ejecucion OAP'!$P$1</f>
        <v>6.7567339999999998</v>
      </c>
      <c r="O13" s="32">
        <f>+'SIIF Ejecución  '!E15</f>
        <v>6756734</v>
      </c>
      <c r="P13" s="44">
        <f t="shared" si="2"/>
        <v>2.7737003284072248E-2</v>
      </c>
      <c r="Q13" s="32">
        <f>'SIIF Ejecución  '!E15/'ejecucion OAP'!$P$1</f>
        <v>6.7567339999999998</v>
      </c>
      <c r="R13" s="31">
        <v>0</v>
      </c>
      <c r="S13" s="31">
        <v>0</v>
      </c>
      <c r="T13" s="31">
        <v>0</v>
      </c>
      <c r="U13" s="46">
        <f t="shared" si="0"/>
        <v>2.7737003284072248E-2</v>
      </c>
      <c r="V13" s="32" t="e">
        <f>'SIIF Ejecución  '!#REF!/'ejecucion OAP'!$P$1</f>
        <v>#REF!</v>
      </c>
      <c r="W13" s="32" t="e">
        <f>'SIIF Ejecución  '!#REF!/'ejecucion OAP'!$P$1</f>
        <v>#REF!</v>
      </c>
      <c r="X13" s="69">
        <f t="shared" si="3"/>
        <v>236.843266</v>
      </c>
      <c r="Y13" s="69">
        <f t="shared" si="4"/>
        <v>236.843266</v>
      </c>
      <c r="Z13" s="198">
        <f>+X13+X14</f>
        <v>7380.8004050000018</v>
      </c>
      <c r="AA13" s="198">
        <f>+Y13+Y14</f>
        <v>14751.065653000001</v>
      </c>
      <c r="AC13" s="58" t="e">
        <f>+L13-'SIIF Ejecución  '!#REF!</f>
        <v>#REF!</v>
      </c>
    </row>
    <row r="14" spans="3:33" ht="24" customHeight="1" x14ac:dyDescent="0.2">
      <c r="C14" s="195"/>
      <c r="D14" s="30" t="s">
        <v>61</v>
      </c>
      <c r="E14" s="32" t="e">
        <f>'SIIF Ejecución  '!#REF!/$P$1</f>
        <v>#REF!</v>
      </c>
      <c r="F14" s="32" t="e">
        <f>'SIIF Ejecución  '!#REF!/$P$1</f>
        <v>#REF!</v>
      </c>
      <c r="G14" s="32" t="e">
        <f>'SIIF Ejecución  '!#REF!/$P$1</f>
        <v>#REF!</v>
      </c>
      <c r="H14" s="31">
        <f>'SIIF Ejecución  '!C16/$P$1</f>
        <v>34331.307000000001</v>
      </c>
      <c r="I14" s="32" t="e">
        <f>'SIIF Ejecución  '!#REF!/'ejecucion OAP'!$P$1</f>
        <v>#REF!</v>
      </c>
      <c r="J14" s="32" t="e">
        <f>'SIIF Ejecución  '!#REF!</f>
        <v>#REF!</v>
      </c>
      <c r="K14" s="32" t="e">
        <f t="shared" si="1"/>
        <v>#REF!</v>
      </c>
      <c r="L14" s="31" t="e">
        <f>'SIIF Ejecución  '!#REF!</f>
        <v>#REF!</v>
      </c>
      <c r="M14" s="31">
        <f>+'SIIF Ejecución  '!D16</f>
        <v>27187349861</v>
      </c>
      <c r="N14" s="32">
        <f>'SIIF Ejecución  '!D16/'ejecucion OAP'!$P$1</f>
        <v>27187.349860999999</v>
      </c>
      <c r="O14" s="32">
        <f>+'SIIF Ejecución  '!E16</f>
        <v>19817084613</v>
      </c>
      <c r="P14" s="44">
        <f t="shared" si="2"/>
        <v>0.79191129720170572</v>
      </c>
      <c r="Q14" s="32">
        <f>'SIIF Ejecución  '!E16/'ejecucion OAP'!$P$1</f>
        <v>19817.084612999999</v>
      </c>
      <c r="R14" s="31">
        <v>895378136</v>
      </c>
      <c r="S14" s="31">
        <v>895.37813600000004</v>
      </c>
      <c r="T14" s="31">
        <v>776524654</v>
      </c>
      <c r="U14" s="46">
        <f t="shared" si="0"/>
        <v>0.57723070703367041</v>
      </c>
      <c r="V14" s="32" t="e">
        <f>'SIIF Ejecución  '!#REF!/'ejecucion OAP'!$P$1</f>
        <v>#REF!</v>
      </c>
      <c r="W14" s="32" t="e">
        <f>'SIIF Ejecución  '!#REF!/'ejecucion OAP'!$P$1</f>
        <v>#REF!</v>
      </c>
      <c r="X14" s="69">
        <f t="shared" si="3"/>
        <v>7143.9571390000019</v>
      </c>
      <c r="Y14" s="69">
        <f t="shared" si="4"/>
        <v>14514.222387000002</v>
      </c>
      <c r="Z14" s="199"/>
      <c r="AA14" s="199"/>
      <c r="AC14" s="58" t="e">
        <f>+L14-'SIIF Ejecución  '!#REF!</f>
        <v>#REF!</v>
      </c>
    </row>
    <row r="15" spans="3:33" ht="30.75" customHeight="1" x14ac:dyDescent="0.2">
      <c r="C15" s="191" t="s">
        <v>171</v>
      </c>
      <c r="D15" s="30" t="s">
        <v>63</v>
      </c>
      <c r="E15" s="32" t="e">
        <f>'SIIF Ejecución  '!#REF!/$P$1</f>
        <v>#REF!</v>
      </c>
      <c r="F15" s="32" t="e">
        <f>'SIIF Ejecución  '!#REF!/$P$1</f>
        <v>#REF!</v>
      </c>
      <c r="G15" s="32" t="e">
        <f>'SIIF Ejecución  '!#REF!/$P$1</f>
        <v>#REF!</v>
      </c>
      <c r="H15" s="31">
        <f>'SIIF Ejecución  '!C18/$P$1</f>
        <v>1561.5</v>
      </c>
      <c r="I15" s="32" t="e">
        <f>'SIIF Ejecución  '!#REF!/'ejecucion OAP'!$P$1</f>
        <v>#REF!</v>
      </c>
      <c r="J15" s="32" t="e">
        <f>'SIIF Ejecución  '!#REF!</f>
        <v>#REF!</v>
      </c>
      <c r="K15" s="32" t="e">
        <f t="shared" si="1"/>
        <v>#REF!</v>
      </c>
      <c r="L15" s="31" t="e">
        <f>'SIIF Ejecución  '!#REF!</f>
        <v>#REF!</v>
      </c>
      <c r="M15" s="31">
        <f>+'SIIF Ejecución  '!D18</f>
        <v>0</v>
      </c>
      <c r="N15" s="32">
        <f>'SIIF Ejecución  '!D18/'ejecucion OAP'!$P$1</f>
        <v>0</v>
      </c>
      <c r="O15" s="32">
        <f>+'SIIF Ejecución  '!E18</f>
        <v>0</v>
      </c>
      <c r="P15" s="44">
        <f t="shared" si="2"/>
        <v>0</v>
      </c>
      <c r="Q15" s="32">
        <f>'SIIF Ejecución  '!E18/'ejecucion OAP'!$P$1</f>
        <v>0</v>
      </c>
      <c r="R15" s="31">
        <v>0</v>
      </c>
      <c r="S15" s="31">
        <v>0</v>
      </c>
      <c r="T15" s="31">
        <v>0</v>
      </c>
      <c r="U15" s="46">
        <f t="shared" si="0"/>
        <v>0</v>
      </c>
      <c r="V15" s="32" t="e">
        <f>'SIIF Ejecución  '!#REF!/'ejecucion OAP'!$P$1</f>
        <v>#REF!</v>
      </c>
      <c r="W15" s="32" t="e">
        <f>'SIIF Ejecución  '!#REF!/'ejecucion OAP'!$P$1</f>
        <v>#REF!</v>
      </c>
      <c r="X15" s="69">
        <f t="shared" si="3"/>
        <v>1561.5</v>
      </c>
      <c r="Y15" s="69">
        <f t="shared" si="4"/>
        <v>1561.5</v>
      </c>
      <c r="Z15" s="200" t="e">
        <f>+X15+X16+X17+X18+#REF!</f>
        <v>#REF!</v>
      </c>
      <c r="AA15" s="200" t="e">
        <f>+Y15+Y16+Y17+Y18+#REF!</f>
        <v>#REF!</v>
      </c>
      <c r="AC15" s="58" t="e">
        <f>+L15-'SIIF Ejecución  '!#REF!</f>
        <v>#REF!</v>
      </c>
    </row>
    <row r="16" spans="3:33" ht="27" customHeight="1" x14ac:dyDescent="0.2">
      <c r="C16" s="191"/>
      <c r="D16" s="30" t="s">
        <v>65</v>
      </c>
      <c r="E16" s="32" t="e">
        <f>'SIIF Ejecución  '!#REF!/$P$1</f>
        <v>#REF!</v>
      </c>
      <c r="F16" s="32" t="e">
        <f>'SIIF Ejecución  '!#REF!/$P$1</f>
        <v>#REF!</v>
      </c>
      <c r="G16" s="32" t="e">
        <f>'SIIF Ejecución  '!#REF!/$P$1</f>
        <v>#REF!</v>
      </c>
      <c r="H16" s="31">
        <f>'SIIF Ejecución  '!C19/$P$1</f>
        <v>20.5</v>
      </c>
      <c r="I16" s="32" t="e">
        <f>'SIIF Ejecución  '!#REF!/'ejecucion OAP'!$P$1</f>
        <v>#REF!</v>
      </c>
      <c r="J16" s="32" t="e">
        <f>'SIIF Ejecución  '!#REF!</f>
        <v>#REF!</v>
      </c>
      <c r="K16" s="32" t="e">
        <f t="shared" si="1"/>
        <v>#REF!</v>
      </c>
      <c r="L16" s="31" t="e">
        <f>'SIIF Ejecución  '!#REF!</f>
        <v>#REF!</v>
      </c>
      <c r="M16" s="32">
        <f>+'SIIF Ejecución  '!D19</f>
        <v>20500000</v>
      </c>
      <c r="N16" s="32">
        <f>'SIIF Ejecución  '!D19/'ejecucion OAP'!$P$1</f>
        <v>20.5</v>
      </c>
      <c r="O16" s="32">
        <f>+'SIIF Ejecución  '!E19</f>
        <v>20500000</v>
      </c>
      <c r="P16" s="44">
        <f t="shared" si="2"/>
        <v>1</v>
      </c>
      <c r="Q16" s="32">
        <f>'SIIF Ejecución  '!E19/'ejecucion OAP'!$P$1</f>
        <v>20.5</v>
      </c>
      <c r="R16" s="31">
        <v>0</v>
      </c>
      <c r="S16" s="31">
        <v>0</v>
      </c>
      <c r="T16" s="31">
        <v>0</v>
      </c>
      <c r="U16" s="46">
        <f t="shared" si="0"/>
        <v>1</v>
      </c>
      <c r="V16" s="32" t="e">
        <f>'SIIF Ejecución  '!#REF!/'ejecucion OAP'!$P$1</f>
        <v>#REF!</v>
      </c>
      <c r="W16" s="32" t="e">
        <f>'SIIF Ejecución  '!#REF!/'ejecucion OAP'!$P$1</f>
        <v>#REF!</v>
      </c>
      <c r="X16" s="69">
        <f t="shared" si="3"/>
        <v>0</v>
      </c>
      <c r="Y16" s="69">
        <f t="shared" si="4"/>
        <v>0</v>
      </c>
      <c r="Z16" s="201"/>
      <c r="AA16" s="201"/>
      <c r="AC16" s="58" t="e">
        <f>+L16-'SIIF Ejecución  '!#REF!</f>
        <v>#REF!</v>
      </c>
    </row>
    <row r="17" spans="1:29" ht="33.75" x14ac:dyDescent="0.2">
      <c r="C17" s="191"/>
      <c r="D17" s="30" t="s">
        <v>67</v>
      </c>
      <c r="E17" s="32" t="e">
        <f>'SIIF Ejecución  '!#REF!/$P$1</f>
        <v>#REF!</v>
      </c>
      <c r="F17" s="32" t="e">
        <f>'SIIF Ejecución  '!#REF!/$P$1</f>
        <v>#REF!</v>
      </c>
      <c r="G17" s="32" t="e">
        <f>'SIIF Ejecución  '!#REF!/$P$1</f>
        <v>#REF!</v>
      </c>
      <c r="H17" s="31">
        <f>'SIIF Ejecución  '!C20/$P$1</f>
        <v>640.4</v>
      </c>
      <c r="I17" s="32" t="e">
        <f>'SIIF Ejecución  '!#REF!/'ejecucion OAP'!$P$1</f>
        <v>#REF!</v>
      </c>
      <c r="J17" s="32" t="e">
        <f>'SIIF Ejecución  '!#REF!</f>
        <v>#REF!</v>
      </c>
      <c r="K17" s="32" t="e">
        <f t="shared" si="1"/>
        <v>#REF!</v>
      </c>
      <c r="L17" s="31" t="e">
        <f>'SIIF Ejecución  '!#REF!</f>
        <v>#REF!</v>
      </c>
      <c r="M17" s="32">
        <f>+'SIIF Ejecución  '!D20</f>
        <v>640400000</v>
      </c>
      <c r="N17" s="32">
        <f>'SIIF Ejecución  '!D20/'ejecucion OAP'!$P$1</f>
        <v>640.4</v>
      </c>
      <c r="O17" s="32">
        <f>+'SIIF Ejecución  '!E20</f>
        <v>640400000</v>
      </c>
      <c r="P17" s="44">
        <f t="shared" si="2"/>
        <v>1</v>
      </c>
      <c r="Q17" s="32">
        <f>'SIIF Ejecución  '!E20/'ejecucion OAP'!$P$1</f>
        <v>640.4</v>
      </c>
      <c r="R17" s="31">
        <v>0</v>
      </c>
      <c r="S17" s="31">
        <v>0</v>
      </c>
      <c r="T17" s="31">
        <v>0</v>
      </c>
      <c r="U17" s="46">
        <f t="shared" si="0"/>
        <v>1</v>
      </c>
      <c r="V17" s="32" t="e">
        <f>'SIIF Ejecución  '!#REF!/'ejecucion OAP'!$P$1</f>
        <v>#REF!</v>
      </c>
      <c r="W17" s="32" t="e">
        <f>'SIIF Ejecución  '!#REF!/'ejecucion OAP'!$P$1</f>
        <v>#REF!</v>
      </c>
      <c r="X17" s="69">
        <f t="shared" si="3"/>
        <v>0</v>
      </c>
      <c r="Y17" s="69">
        <f t="shared" si="4"/>
        <v>0</v>
      </c>
      <c r="Z17" s="201"/>
      <c r="AA17" s="201"/>
      <c r="AC17" s="58" t="e">
        <f>+L17-'SIIF Ejecución  '!#REF!</f>
        <v>#REF!</v>
      </c>
    </row>
    <row r="18" spans="1:29" ht="26.25" customHeight="1" x14ac:dyDescent="0.2">
      <c r="C18" s="191"/>
      <c r="D18" s="30" t="s">
        <v>70</v>
      </c>
      <c r="E18" s="32" t="e">
        <f>'SIIF Ejecución  '!#REF!/$P$1</f>
        <v>#REF!</v>
      </c>
      <c r="F18" s="32" t="e">
        <f>'SIIF Ejecución  '!#REF!/$P$1</f>
        <v>#REF!</v>
      </c>
      <c r="G18" s="32" t="e">
        <f>'SIIF Ejecución  '!#REF!/$P$1</f>
        <v>#REF!</v>
      </c>
      <c r="H18" s="31">
        <f>'SIIF Ejecución  '!C21/$P$1</f>
        <v>19000</v>
      </c>
      <c r="I18" s="32" t="e">
        <f>'SIIF Ejecución  '!#REF!/'ejecucion OAP'!$P$1</f>
        <v>#REF!</v>
      </c>
      <c r="J18" s="32" t="e">
        <f>'SIIF Ejecución  '!#REF!</f>
        <v>#REF!</v>
      </c>
      <c r="K18" s="32" t="e">
        <f t="shared" si="1"/>
        <v>#REF!</v>
      </c>
      <c r="L18" s="31" t="e">
        <f>'SIIF Ejecución  '!#REF!</f>
        <v>#REF!</v>
      </c>
      <c r="M18" s="32">
        <f>+'SIIF Ejecución  '!D21</f>
        <v>11000206373</v>
      </c>
      <c r="N18" s="32">
        <f>'SIIF Ejecución  '!D21/'ejecucion OAP'!$P$1</f>
        <v>11000.206373000001</v>
      </c>
      <c r="O18" s="32">
        <f>+'SIIF Ejecución  '!E21</f>
        <v>10998870375</v>
      </c>
      <c r="P18" s="44">
        <f t="shared" si="2"/>
        <v>0.57895823015789483</v>
      </c>
      <c r="Q18" s="32">
        <f>'SIIF Ejecución  '!E21/'ejecucion OAP'!$P$1</f>
        <v>10998.870375</v>
      </c>
      <c r="R18" s="31">
        <v>12217010</v>
      </c>
      <c r="S18" s="31">
        <v>12.21701</v>
      </c>
      <c r="T18" s="31">
        <v>12217010</v>
      </c>
      <c r="U18" s="46">
        <f t="shared" si="0"/>
        <v>0.57888791447368426</v>
      </c>
      <c r="V18" s="32" t="e">
        <f>'SIIF Ejecución  '!#REF!/'ejecucion OAP'!$P$1</f>
        <v>#REF!</v>
      </c>
      <c r="W18" s="32" t="e">
        <f>'SIIF Ejecución  '!#REF!/'ejecucion OAP'!$P$1</f>
        <v>#REF!</v>
      </c>
      <c r="X18" s="69">
        <f t="shared" si="3"/>
        <v>7999.7936269999991</v>
      </c>
      <c r="Y18" s="69">
        <f t="shared" si="4"/>
        <v>8001.1296249999996</v>
      </c>
      <c r="Z18" s="201"/>
      <c r="AA18" s="201"/>
      <c r="AC18" s="58" t="e">
        <f>+L18-'SIIF Ejecución  '!#REF!</f>
        <v>#REF!</v>
      </c>
    </row>
    <row r="19" spans="1:29" ht="20.25" customHeight="1" x14ac:dyDescent="0.2">
      <c r="C19" s="192" t="s">
        <v>172</v>
      </c>
      <c r="D19" s="71" t="s">
        <v>72</v>
      </c>
      <c r="E19" s="32" t="e">
        <f>'SIIF Ejecución  '!#REF!/$P$1</f>
        <v>#REF!</v>
      </c>
      <c r="F19" s="32" t="e">
        <f>'SIIF Ejecución  '!#REF!/$P$1</f>
        <v>#REF!</v>
      </c>
      <c r="G19" s="32" t="e">
        <f>'SIIF Ejecución  '!#REF!/$P$1</f>
        <v>#REF!</v>
      </c>
      <c r="H19" s="31">
        <f>'SIIF Ejecución  '!C23/$P$1</f>
        <v>1677.7</v>
      </c>
      <c r="I19" s="32" t="e">
        <f>'SIIF Ejecución  '!#REF!/'ejecucion OAP'!$P$1</f>
        <v>#REF!</v>
      </c>
      <c r="J19" s="32" t="e">
        <f>'SIIF Ejecución  '!#REF!</f>
        <v>#REF!</v>
      </c>
      <c r="K19" s="32" t="e">
        <f t="shared" si="1"/>
        <v>#REF!</v>
      </c>
      <c r="L19" s="31" t="e">
        <f>'SIIF Ejecución  '!#REF!</f>
        <v>#REF!</v>
      </c>
      <c r="M19" s="31">
        <f>+'SIIF Ejecución  '!D24</f>
        <v>19074327941</v>
      </c>
      <c r="N19" s="32">
        <f>'SIIF Ejecución  '!D23/'ejecucion OAP'!$P$1</f>
        <v>645.64193499999999</v>
      </c>
      <c r="O19" s="32">
        <f>+'SIIF Ejecución  '!E24</f>
        <v>19074327941</v>
      </c>
      <c r="P19" s="44">
        <f t="shared" si="2"/>
        <v>0.38483753650831493</v>
      </c>
      <c r="Q19" s="32">
        <f>'SIIF Ejecución  '!E23/'ejecucion OAP'!$P$1</f>
        <v>643.04833099999996</v>
      </c>
      <c r="R19" s="31">
        <v>0</v>
      </c>
      <c r="S19" s="31">
        <v>0</v>
      </c>
      <c r="T19" s="31">
        <v>0</v>
      </c>
      <c r="U19" s="46">
        <f t="shared" si="0"/>
        <v>0.38329160815402036</v>
      </c>
      <c r="V19" s="32" t="e">
        <f>'SIIF Ejecución  '!#REF!/'ejecucion OAP'!$P$1</f>
        <v>#REF!</v>
      </c>
      <c r="W19" s="32" t="e">
        <f>'SIIF Ejecución  '!#REF!/'ejecucion OAP'!$P$1</f>
        <v>#REF!</v>
      </c>
      <c r="X19" s="69">
        <f t="shared" si="3"/>
        <v>1032.0580650000002</v>
      </c>
      <c r="Y19" s="69">
        <f t="shared" si="4"/>
        <v>1034.6516690000001</v>
      </c>
      <c r="Z19" s="202">
        <f>+X19+X20</f>
        <v>1540.6301240000021</v>
      </c>
      <c r="AA19" s="202">
        <f>+Y19+Y20</f>
        <v>1543.223728000002</v>
      </c>
      <c r="AC19" s="58"/>
    </row>
    <row r="20" spans="1:29" ht="21" customHeight="1" x14ac:dyDescent="0.2">
      <c r="C20" s="192"/>
      <c r="D20" s="71" t="s">
        <v>71</v>
      </c>
      <c r="E20" s="32" t="e">
        <f>'SIIF Ejecución  '!#REF!/$P$1</f>
        <v>#REF!</v>
      </c>
      <c r="F20" s="32" t="e">
        <f>'SIIF Ejecución  '!#REF!/$P$1</f>
        <v>#REF!</v>
      </c>
      <c r="G20" s="32" t="e">
        <f>'SIIF Ejecución  '!#REF!/$P$1</f>
        <v>#REF!</v>
      </c>
      <c r="H20" s="32">
        <f>'SIIF Ejecución  '!C24/$P$1</f>
        <v>19582.900000000001</v>
      </c>
      <c r="I20" s="32" t="e">
        <f>'SIIF Ejecución  '!#REF!/'ejecucion OAP'!$P$1</f>
        <v>#REF!</v>
      </c>
      <c r="J20" s="32" t="e">
        <f>'SIIF Ejecución  '!#REF!</f>
        <v>#REF!</v>
      </c>
      <c r="K20" s="32" t="e">
        <f t="shared" si="1"/>
        <v>#REF!</v>
      </c>
      <c r="L20" s="31" t="e">
        <f>'SIIF Ejecución  '!#REF!</f>
        <v>#REF!</v>
      </c>
      <c r="M20" s="31">
        <f>+'SIIF Ejecución  '!D23</f>
        <v>645641935</v>
      </c>
      <c r="N20" s="32">
        <f>'SIIF Ejecución  '!D24/'ejecucion OAP'!$P$1</f>
        <v>19074.327941</v>
      </c>
      <c r="O20" s="32">
        <f>+'SIIF Ejecución  '!E26</f>
        <v>858175780</v>
      </c>
      <c r="P20" s="44">
        <f t="shared" si="2"/>
        <v>0.97402978828467679</v>
      </c>
      <c r="Q20" s="32">
        <f>'SIIF Ejecución  '!E24/'ejecucion OAP'!$P$1</f>
        <v>19074.327941</v>
      </c>
      <c r="R20" s="31">
        <v>0</v>
      </c>
      <c r="S20" s="31">
        <v>0</v>
      </c>
      <c r="T20" s="31">
        <v>0</v>
      </c>
      <c r="U20" s="46">
        <f t="shared" si="0"/>
        <v>0.97402978828467679</v>
      </c>
      <c r="V20" s="32" t="e">
        <f>'SIIF Ejecución  '!#REF!/'ejecucion OAP'!$P$1</f>
        <v>#REF!</v>
      </c>
      <c r="W20" s="32" t="e">
        <f>'SIIF Ejecución  '!#REF!/'ejecucion OAP'!$P$1</f>
        <v>#REF!</v>
      </c>
      <c r="X20" s="69">
        <f t="shared" si="3"/>
        <v>508.5720590000019</v>
      </c>
      <c r="Y20" s="69">
        <f t="shared" si="4"/>
        <v>508.5720590000019</v>
      </c>
      <c r="Z20" s="203"/>
      <c r="AA20" s="203"/>
      <c r="AC20" s="58"/>
    </row>
    <row r="21" spans="1:29" x14ac:dyDescent="0.2">
      <c r="D21" s="30" t="s">
        <v>75</v>
      </c>
      <c r="E21" s="32" t="e">
        <f>'SIIF Ejecución  '!#REF!/$P$1</f>
        <v>#REF!</v>
      </c>
      <c r="F21" s="32" t="e">
        <f>'SIIF Ejecución  '!#REF!/$P$1</f>
        <v>#REF!</v>
      </c>
      <c r="G21" s="32" t="e">
        <f>'SIIF Ejecución  '!#REF!/$P$1</f>
        <v>#REF!</v>
      </c>
      <c r="H21" s="31">
        <f>'SIIF Ejecución  '!C27/$P$1</f>
        <v>120.1</v>
      </c>
      <c r="I21" s="32" t="e">
        <f>'SIIF Ejecución  '!#REF!/'ejecucion OAP'!$P$1</f>
        <v>#REF!</v>
      </c>
      <c r="J21" s="32" t="e">
        <f>'SIIF Ejecución  '!#REF!</f>
        <v>#REF!</v>
      </c>
      <c r="K21" s="32" t="e">
        <f t="shared" si="1"/>
        <v>#REF!</v>
      </c>
      <c r="L21" s="31" t="e">
        <f>'SIIF Ejecución  '!#REF!</f>
        <v>#REF!</v>
      </c>
      <c r="M21" s="31">
        <v>71682591</v>
      </c>
      <c r="N21" s="32">
        <f>'SIIF Ejecución  '!D27/'ejecucion OAP'!$P$1</f>
        <v>68.2714</v>
      </c>
      <c r="O21" s="32">
        <f>+'SIIF Ejecución  '!E27</f>
        <v>68271400</v>
      </c>
      <c r="P21" s="44">
        <f t="shared" si="2"/>
        <v>0.56845462114904244</v>
      </c>
      <c r="Q21" s="32">
        <f>'SIIF Ejecución  '!E27/'ejecucion OAP'!$P$1</f>
        <v>68.2714</v>
      </c>
      <c r="R21" s="31">
        <v>71682591</v>
      </c>
      <c r="S21" s="31">
        <v>71.682591000000002</v>
      </c>
      <c r="T21" s="31">
        <v>0</v>
      </c>
      <c r="U21" s="46">
        <f t="shared" si="0"/>
        <v>0.56845462114904244</v>
      </c>
      <c r="V21" s="32" t="e">
        <f>'SIIF Ejecución  '!#REF!/'ejecucion OAP'!$P$1</f>
        <v>#REF!</v>
      </c>
      <c r="W21" s="32" t="e">
        <f>'SIIF Ejecución  '!#REF!/'ejecucion OAP'!$P$1</f>
        <v>#REF!</v>
      </c>
      <c r="X21" s="58"/>
      <c r="Y21" s="58"/>
      <c r="AC21" s="58" t="e">
        <f>+L21-'SIIF Ejecución  '!#REF!</f>
        <v>#REF!</v>
      </c>
    </row>
    <row r="22" spans="1:29" x14ac:dyDescent="0.2">
      <c r="D22" s="30" t="s">
        <v>75</v>
      </c>
      <c r="E22" s="32" t="e">
        <f>'SIIF Ejecución  '!#REF!</f>
        <v>#REF!</v>
      </c>
      <c r="F22" s="32" t="e">
        <f>'SIIF Ejecución  '!#REF!/$P$1</f>
        <v>#REF!</v>
      </c>
      <c r="G22" s="32" t="e">
        <f>'SIIF Ejecución  '!#REF!/$P$1</f>
        <v>#REF!</v>
      </c>
      <c r="H22" s="31">
        <f>'SIIF Ejecución  '!C29/$P$1</f>
        <v>53904.921957999999</v>
      </c>
      <c r="I22" s="32" t="e">
        <f>'SIIF Ejecución  '!#REF!/'ejecucion OAP'!$P$1</f>
        <v>#REF!</v>
      </c>
      <c r="J22" s="32" t="e">
        <f>'SIIF Ejecución  '!#REF!</f>
        <v>#REF!</v>
      </c>
      <c r="K22" s="64" t="e">
        <f t="shared" si="1"/>
        <v>#REF!</v>
      </c>
      <c r="L22" s="31" t="e">
        <f>'SIIF Ejecución  '!#REF!</f>
        <v>#REF!</v>
      </c>
      <c r="M22" s="31">
        <v>0</v>
      </c>
      <c r="N22" s="32">
        <f>'SIIF Ejecución  '!D29/'ejecucion OAP'!$P$1</f>
        <v>53904.921957999999</v>
      </c>
      <c r="O22" s="32">
        <f>+'SIIF Ejecución  '!E29</f>
        <v>36003298266</v>
      </c>
      <c r="P22" s="44">
        <f t="shared" si="2"/>
        <v>1</v>
      </c>
      <c r="Q22" s="32">
        <f>'SIIF Ejecución  '!E29/'ejecucion OAP'!$P$1</f>
        <v>36003.298265999998</v>
      </c>
      <c r="R22" s="31">
        <v>0</v>
      </c>
      <c r="S22" s="31">
        <v>0</v>
      </c>
      <c r="T22" s="31">
        <v>0</v>
      </c>
      <c r="U22" s="46">
        <f t="shared" si="0"/>
        <v>0.66790372675155629</v>
      </c>
      <c r="V22" s="32" t="e">
        <f>'SIIF Ejecución  '!#REF!/'ejecucion OAP'!$P$1</f>
        <v>#REF!</v>
      </c>
      <c r="W22" s="32" t="e">
        <f>'SIIF Ejecución  '!#REF!/'ejecucion OAP'!$P$1</f>
        <v>#REF!</v>
      </c>
      <c r="X22" s="58"/>
      <c r="AC22" s="58" t="e">
        <f>+L22-'SIIF Ejecución  '!#REF!</f>
        <v>#REF!</v>
      </c>
    </row>
    <row r="23" spans="1:29" hidden="1" x14ac:dyDescent="0.2">
      <c r="D23" s="30"/>
      <c r="E23" s="33"/>
      <c r="F23" s="33"/>
      <c r="G23" s="32" t="e">
        <f>'SIIF Ejecución  '!#REF!/$P$1</f>
        <v>#REF!</v>
      </c>
      <c r="H23" s="33"/>
      <c r="I23" s="33"/>
      <c r="J23" s="62"/>
      <c r="K23" s="65" t="e">
        <f>SUM(K5:K20)</f>
        <v>#REF!</v>
      </c>
      <c r="L23" s="63"/>
      <c r="M23" s="33"/>
      <c r="N23" s="65">
        <f>SUM(N5:N20)</f>
        <v>228318.17467699997</v>
      </c>
      <c r="O23" s="33"/>
      <c r="P23" s="65" t="e">
        <f>+K23-N23</f>
        <v>#REF!</v>
      </c>
      <c r="Q23" s="33"/>
      <c r="R23" s="33"/>
      <c r="S23" s="33"/>
      <c r="T23" s="33"/>
      <c r="U23" s="45"/>
      <c r="V23" s="62"/>
      <c r="W23" s="65" t="e">
        <f>SUM(W5:W20)</f>
        <v>#REF!</v>
      </c>
    </row>
    <row r="24" spans="1:29" ht="15" x14ac:dyDescent="0.25">
      <c r="D24" s="187" t="s">
        <v>191</v>
      </c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34"/>
      <c r="P24" s="42"/>
      <c r="Q24" s="35"/>
      <c r="R24" s="35"/>
      <c r="S24" s="35"/>
      <c r="T24" s="35"/>
      <c r="U24" s="49"/>
      <c r="V24" s="35"/>
      <c r="W24" s="35"/>
      <c r="X24" s="69">
        <v>1000000</v>
      </c>
    </row>
    <row r="25" spans="1:29" ht="25.5" customHeight="1" x14ac:dyDescent="0.2">
      <c r="D25" s="36" t="s">
        <v>18</v>
      </c>
      <c r="E25" s="36" t="s">
        <v>19</v>
      </c>
      <c r="F25" s="36" t="s">
        <v>20</v>
      </c>
      <c r="G25" s="36" t="s">
        <v>21</v>
      </c>
      <c r="H25" s="36" t="s">
        <v>22</v>
      </c>
      <c r="I25" s="36" t="s">
        <v>23</v>
      </c>
      <c r="J25" s="36" t="s">
        <v>24</v>
      </c>
      <c r="K25" s="36"/>
      <c r="L25" s="36" t="s">
        <v>25</v>
      </c>
      <c r="M25" s="36"/>
      <c r="N25" s="36" t="s">
        <v>26</v>
      </c>
      <c r="O25" s="36"/>
      <c r="P25" s="43" t="s">
        <v>194</v>
      </c>
      <c r="Q25" s="36" t="s">
        <v>27</v>
      </c>
      <c r="R25" s="36" t="s">
        <v>28</v>
      </c>
      <c r="S25" s="36"/>
      <c r="T25" s="36"/>
      <c r="U25" s="43" t="s">
        <v>194</v>
      </c>
      <c r="V25" s="36" t="s">
        <v>29</v>
      </c>
      <c r="W25" s="36" t="s">
        <v>25</v>
      </c>
    </row>
    <row r="26" spans="1:29" ht="45" x14ac:dyDescent="0.2">
      <c r="A26" s="24" t="s">
        <v>79</v>
      </c>
      <c r="B26" s="24" t="s">
        <v>80</v>
      </c>
      <c r="C26" s="24" t="s">
        <v>81</v>
      </c>
      <c r="D26" s="30" t="s">
        <v>84</v>
      </c>
      <c r="E26" s="31" t="e">
        <f>+'SIIF Ejecución  '!#REF!/$P$1</f>
        <v>#REF!</v>
      </c>
      <c r="F26" s="32" t="e">
        <f>+'SIIF Ejecución  '!#REF!/$P$1</f>
        <v>#REF!</v>
      </c>
      <c r="G26" s="32" t="e">
        <f>+'SIIF Ejecución  '!#REF!/$P$1</f>
        <v>#REF!</v>
      </c>
      <c r="H26" s="31">
        <f>'SIIF Ejecución  '!C29/'ejecucion OAP'!$P$1</f>
        <v>53904.921957999999</v>
      </c>
      <c r="I26" s="32" t="e">
        <f>'SIIF Ejecución  '!#REF!/'ejecucion OAP'!$P$1</f>
        <v>#REF!</v>
      </c>
      <c r="J26" s="31" t="e">
        <f>'SIIF Ejecución  '!#REF!</f>
        <v>#REF!</v>
      </c>
      <c r="K26" s="32" t="e">
        <f>+J26/$P$1</f>
        <v>#REF!</v>
      </c>
      <c r="L26" s="31" t="e">
        <f>'SIIF Ejecución  '!#REF!</f>
        <v>#REF!</v>
      </c>
      <c r="M26" s="31">
        <v>75062155506</v>
      </c>
      <c r="N26" s="31">
        <f>'SIIF Ejecución  '!D29/'ejecucion OAP'!$P$1</f>
        <v>53904.921957999999</v>
      </c>
      <c r="O26" s="31">
        <v>55082409320</v>
      </c>
      <c r="P26" s="46">
        <f>+N26/H26</f>
        <v>1</v>
      </c>
      <c r="Q26" s="31">
        <f>'SIIF Ejecución  '!E29/'ejecucion OAP'!$P$1</f>
        <v>36003.298265999998</v>
      </c>
      <c r="R26" s="31">
        <v>0</v>
      </c>
      <c r="S26" s="31">
        <v>0</v>
      </c>
      <c r="T26" s="31">
        <v>0</v>
      </c>
      <c r="U26" s="46">
        <f t="shared" ref="U26:U65" si="6">+Q26/H26</f>
        <v>0.66790372675155629</v>
      </c>
      <c r="V26" s="31" t="e">
        <f>'SIIF Ejecución  '!#REF!/'ejecucion OAP'!$P$1</f>
        <v>#REF!</v>
      </c>
      <c r="W26" s="31" t="e">
        <f>'SIIF Ejecución  '!#REF!/'ejecucion OAP'!$P$1</f>
        <v>#REF!</v>
      </c>
      <c r="X26" s="69">
        <f t="shared" ref="X26:X64" si="7">+H26-N26</f>
        <v>0</v>
      </c>
      <c r="Y26" s="69">
        <f t="shared" ref="Y26:Y64" si="8">+H26-Q26</f>
        <v>17901.623692000001</v>
      </c>
      <c r="Z26" s="204">
        <f>+X26+X27+X28</f>
        <v>2797.1692479999983</v>
      </c>
      <c r="AA26" s="206">
        <f>+Y26+Y27+Y28</f>
        <v>186829.87379799999</v>
      </c>
      <c r="AB26" s="58"/>
    </row>
    <row r="27" spans="1:29" ht="45" x14ac:dyDescent="0.2">
      <c r="A27" s="24" t="s">
        <v>79</v>
      </c>
      <c r="B27" s="24" t="s">
        <v>80</v>
      </c>
      <c r="C27" s="24" t="s">
        <v>81</v>
      </c>
      <c r="D27" s="30" t="s">
        <v>84</v>
      </c>
      <c r="E27" s="32" t="e">
        <f>+'SIIF Ejecución  '!#REF!/$P$1</f>
        <v>#REF!</v>
      </c>
      <c r="F27" s="32" t="e">
        <f>+'SIIF Ejecución  '!#REF!/$P$1</f>
        <v>#REF!</v>
      </c>
      <c r="G27" s="32" t="e">
        <f>+'SIIF Ejecución  '!#REF!/$P$1</f>
        <v>#REF!</v>
      </c>
      <c r="H27" s="31">
        <f>'SIIF Ejecución  '!C30/'ejecucion OAP'!$P$1</f>
        <v>46550.979151</v>
      </c>
      <c r="I27" s="32" t="e">
        <f>'SIIF Ejecución  '!#REF!/'ejecucion OAP'!$P$1</f>
        <v>#REF!</v>
      </c>
      <c r="J27" s="32" t="e">
        <f>'SIIF Ejecución  '!#REF!</f>
        <v>#REF!</v>
      </c>
      <c r="K27" s="32" t="e">
        <f t="shared" ref="K27:K64" si="9">+J27/$P$1</f>
        <v>#REF!</v>
      </c>
      <c r="L27" s="31" t="e">
        <f>'SIIF Ejecución  '!#REF!</f>
        <v>#REF!</v>
      </c>
      <c r="M27" s="31">
        <v>97141457021</v>
      </c>
      <c r="N27" s="32">
        <f>'SIIF Ejecución  '!D30/'ejecucion OAP'!$P$1</f>
        <v>46465.106039999999</v>
      </c>
      <c r="O27" s="31">
        <v>0</v>
      </c>
      <c r="P27" s="46">
        <f t="shared" ref="P27:P65" si="10">+N27/H27</f>
        <v>0.99815528883460325</v>
      </c>
      <c r="Q27" s="32">
        <f>'SIIF Ejecución  '!E30/'ejecucion OAP'!$P$1</f>
        <v>18595.386729000002</v>
      </c>
      <c r="R27" s="31">
        <v>0</v>
      </c>
      <c r="S27" s="31">
        <v>0</v>
      </c>
      <c r="T27" s="31">
        <v>0</v>
      </c>
      <c r="U27" s="46">
        <f t="shared" si="6"/>
        <v>0.39946284843292151</v>
      </c>
      <c r="V27" s="32" t="e">
        <f>'SIIF Ejecución  '!#REF!/'ejecucion OAP'!$P$1</f>
        <v>#REF!</v>
      </c>
      <c r="W27" s="32" t="e">
        <f>'SIIF Ejecución  '!#REF!/'ejecucion OAP'!$P$1</f>
        <v>#REF!</v>
      </c>
      <c r="X27" s="69">
        <f t="shared" si="7"/>
        <v>85.87311100000079</v>
      </c>
      <c r="Y27" s="69">
        <f t="shared" si="8"/>
        <v>27955.592421999998</v>
      </c>
      <c r="Z27" s="205"/>
      <c r="AA27" s="207"/>
    </row>
    <row r="28" spans="1:29" ht="45" x14ac:dyDescent="0.2">
      <c r="A28" s="24" t="s">
        <v>79</v>
      </c>
      <c r="B28" s="24" t="s">
        <v>80</v>
      </c>
      <c r="C28" s="24" t="s">
        <v>81</v>
      </c>
      <c r="D28" s="30" t="s">
        <v>84</v>
      </c>
      <c r="E28" s="32" t="e">
        <f>+'SIIF Ejecución  '!#REF!/$P$1</f>
        <v>#REF!</v>
      </c>
      <c r="F28" s="32" t="e">
        <f>+'SIIF Ejecución  '!#REF!/$P$1</f>
        <v>#REF!</v>
      </c>
      <c r="G28" s="32" t="e">
        <f>+'SIIF Ejecución  '!#REF!/$P$1</f>
        <v>#REF!</v>
      </c>
      <c r="H28" s="31">
        <f>'SIIF Ejecución  '!C31/'ejecucion OAP'!$P$1</f>
        <v>168865.70392</v>
      </c>
      <c r="I28" s="32" t="e">
        <f>'SIIF Ejecución  '!#REF!/'ejecucion OAP'!$P$1</f>
        <v>#REF!</v>
      </c>
      <c r="J28" s="32" t="e">
        <f>'SIIF Ejecución  '!#REF!</f>
        <v>#REF!</v>
      </c>
      <c r="K28" s="32" t="e">
        <f t="shared" si="9"/>
        <v>#REF!</v>
      </c>
      <c r="L28" s="32" t="e">
        <f>'SIIF Ejecución  '!#REF!</f>
        <v>#REF!</v>
      </c>
      <c r="M28" s="31">
        <v>21768576054</v>
      </c>
      <c r="N28" s="32">
        <f>'SIIF Ejecución  '!D31/'ejecucion OAP'!$P$1</f>
        <v>166154.407783</v>
      </c>
      <c r="O28" s="31">
        <v>2543065580</v>
      </c>
      <c r="P28" s="46">
        <f t="shared" si="10"/>
        <v>0.98394406872407636</v>
      </c>
      <c r="Q28" s="32">
        <f>'SIIF Ejecución  '!E31/'ejecucion OAP'!$P$1</f>
        <v>27893.046235999998</v>
      </c>
      <c r="R28" s="31">
        <v>0</v>
      </c>
      <c r="S28" s="31">
        <v>0</v>
      </c>
      <c r="T28" s="31">
        <v>0</v>
      </c>
      <c r="U28" s="46">
        <f t="shared" si="6"/>
        <v>0.1651788704781304</v>
      </c>
      <c r="V28" s="32" t="e">
        <f>'SIIF Ejecución  '!#REF!/'ejecucion OAP'!$P$1</f>
        <v>#REF!</v>
      </c>
      <c r="W28" s="32" t="e">
        <f>'SIIF Ejecución  '!#REF!/'ejecucion OAP'!$P$1</f>
        <v>#REF!</v>
      </c>
      <c r="X28" s="69">
        <f t="shared" si="7"/>
        <v>2711.2961369999975</v>
      </c>
      <c r="Y28" s="69">
        <f t="shared" si="8"/>
        <v>140972.65768400001</v>
      </c>
      <c r="Z28" s="205"/>
      <c r="AA28" s="207"/>
    </row>
    <row r="29" spans="1:29" ht="45" x14ac:dyDescent="0.2">
      <c r="A29" s="24" t="s">
        <v>79</v>
      </c>
      <c r="B29" s="24" t="s">
        <v>80</v>
      </c>
      <c r="C29" s="24" t="s">
        <v>87</v>
      </c>
      <c r="D29" s="30" t="s">
        <v>88</v>
      </c>
      <c r="E29" s="32" t="e">
        <f>+'SIIF Ejecución  '!#REF!/$P$1</f>
        <v>#REF!</v>
      </c>
      <c r="F29" s="32" t="e">
        <f>+'SIIF Ejecución  '!#REF!/$P$1</f>
        <v>#REF!</v>
      </c>
      <c r="G29" s="32" t="e">
        <f>+'SIIF Ejecución  '!#REF!/$P$1</f>
        <v>#REF!</v>
      </c>
      <c r="H29" s="31">
        <f>'SIIF Ejecución  '!C32/'ejecucion OAP'!$P$1</f>
        <v>57196.949651000003</v>
      </c>
      <c r="I29" s="32" t="e">
        <f>'SIIF Ejecución  '!#REF!/'ejecucion OAP'!$P$1</f>
        <v>#REF!</v>
      </c>
      <c r="J29" s="32" t="e">
        <f>'SIIF Ejecución  '!#REF!</f>
        <v>#REF!</v>
      </c>
      <c r="K29" s="32" t="e">
        <f t="shared" si="9"/>
        <v>#REF!</v>
      </c>
      <c r="L29" s="32" t="e">
        <f>'SIIF Ejecución  '!#REF!</f>
        <v>#REF!</v>
      </c>
      <c r="M29" s="31">
        <v>40493450447</v>
      </c>
      <c r="N29" s="32">
        <f>'SIIF Ejecución  '!D32/'ejecucion OAP'!$P$1</f>
        <v>57196.949651000003</v>
      </c>
      <c r="O29" s="31">
        <v>0</v>
      </c>
      <c r="P29" s="46">
        <f t="shared" si="10"/>
        <v>1</v>
      </c>
      <c r="Q29" s="32">
        <f>'SIIF Ejecución  '!E32/'ejecucion OAP'!$P$1</f>
        <v>18569.122527</v>
      </c>
      <c r="R29" s="31">
        <v>0</v>
      </c>
      <c r="S29" s="31">
        <v>0</v>
      </c>
      <c r="T29" s="31">
        <v>0</v>
      </c>
      <c r="U29" s="46">
        <f t="shared" si="6"/>
        <v>0.32465232220081069</v>
      </c>
      <c r="V29" s="32" t="e">
        <f>'SIIF Ejecución  '!#REF!/'ejecucion OAP'!$P$1</f>
        <v>#REF!</v>
      </c>
      <c r="W29" s="32" t="e">
        <f>'SIIF Ejecución  '!#REF!/'ejecucion OAP'!$P$1</f>
        <v>#REF!</v>
      </c>
      <c r="X29" s="69">
        <f t="shared" si="7"/>
        <v>0</v>
      </c>
      <c r="Y29" s="69">
        <f t="shared" si="8"/>
        <v>38627.827124000003</v>
      </c>
    </row>
    <row r="30" spans="1:29" ht="45" x14ac:dyDescent="0.2">
      <c r="A30" s="61" t="s">
        <v>79</v>
      </c>
      <c r="B30" s="61" t="s">
        <v>80</v>
      </c>
      <c r="C30" s="61" t="s">
        <v>87</v>
      </c>
      <c r="D30" s="30" t="s">
        <v>88</v>
      </c>
      <c r="E30" s="32" t="e">
        <f>+'SIIF Ejecución  '!#REF!/$P$1</f>
        <v>#REF!</v>
      </c>
      <c r="F30" s="32" t="e">
        <f>+'SIIF Ejecución  '!#REF!/$P$1</f>
        <v>#REF!</v>
      </c>
      <c r="G30" s="32" t="e">
        <f>+'SIIF Ejecución  '!#REF!/$P$1</f>
        <v>#REF!</v>
      </c>
      <c r="H30" s="32">
        <f>'SIIF Ejecución  '!C33/'ejecucion OAP'!$P$1</f>
        <v>913.19608000000005</v>
      </c>
      <c r="I30" s="32" t="e">
        <f>'SIIF Ejecución  '!#REF!/'ejecucion OAP'!$P$1</f>
        <v>#REF!</v>
      </c>
      <c r="J30" s="32"/>
      <c r="K30" s="32"/>
      <c r="L30" s="32"/>
      <c r="M30" s="32"/>
      <c r="N30" s="32">
        <f>'SIIF Ejecución  '!D33/'ejecucion OAP'!$P$1</f>
        <v>913.19608000000005</v>
      </c>
      <c r="O30" s="32"/>
      <c r="P30" s="46">
        <f t="shared" si="10"/>
        <v>1</v>
      </c>
      <c r="Q30" s="32">
        <f>'SIIF Ejecución  '!E33/'ejecucion OAP'!$P$1</f>
        <v>905.29469099999994</v>
      </c>
      <c r="R30" s="32"/>
      <c r="S30" s="32"/>
      <c r="T30" s="32"/>
      <c r="U30" s="46">
        <f t="shared" si="6"/>
        <v>0.99134754389221635</v>
      </c>
      <c r="V30" s="32" t="e">
        <f>'SIIF Ejecución  '!#REF!/'ejecucion OAP'!$P$1</f>
        <v>#REF!</v>
      </c>
      <c r="W30" s="32" t="e">
        <f>'SIIF Ejecución  '!#REF!/'ejecucion OAP'!$P$1</f>
        <v>#REF!</v>
      </c>
      <c r="X30" s="69"/>
      <c r="Y30" s="69"/>
    </row>
    <row r="31" spans="1:29" ht="33.75" x14ac:dyDescent="0.2">
      <c r="A31" s="24" t="s">
        <v>90</v>
      </c>
      <c r="B31" s="24" t="s">
        <v>80</v>
      </c>
      <c r="C31" s="24" t="s">
        <v>34</v>
      </c>
      <c r="D31" s="30" t="s">
        <v>91</v>
      </c>
      <c r="E31" s="32" t="e">
        <f>+'SIIF Ejecución  '!#REF!/$P$1</f>
        <v>#REF!</v>
      </c>
      <c r="F31" s="32" t="e">
        <f>+'SIIF Ejecución  '!#REF!/$P$1</f>
        <v>#REF!</v>
      </c>
      <c r="G31" s="32" t="e">
        <f>+'SIIF Ejecución  '!#REF!/$P$1</f>
        <v>#REF!</v>
      </c>
      <c r="H31" s="31">
        <f>'SIIF Ejecución  '!C34/'ejecucion OAP'!$P$1</f>
        <v>3000</v>
      </c>
      <c r="I31" s="32" t="e">
        <f>'SIIF Ejecución  '!#REF!/'ejecucion OAP'!$P$1</f>
        <v>#REF!</v>
      </c>
      <c r="J31" s="32" t="e">
        <f>'SIIF Ejecución  '!#REF!</f>
        <v>#REF!</v>
      </c>
      <c r="K31" s="32" t="e">
        <f t="shared" si="9"/>
        <v>#REF!</v>
      </c>
      <c r="L31" s="32" t="e">
        <f>'SIIF Ejecución  '!#REF!</f>
        <v>#REF!</v>
      </c>
      <c r="M31" s="31">
        <v>0</v>
      </c>
      <c r="N31" s="32">
        <f>'SIIF Ejecución  '!D34/'ejecucion OAP'!$P$1</f>
        <v>103.660692</v>
      </c>
      <c r="O31" s="31">
        <v>0</v>
      </c>
      <c r="P31" s="46">
        <f t="shared" si="10"/>
        <v>3.4553564000000002E-2</v>
      </c>
      <c r="Q31" s="32">
        <f>'SIIF Ejecución  '!E34/'ejecucion OAP'!$P$1</f>
        <v>47.330795999999999</v>
      </c>
      <c r="R31" s="31">
        <v>0</v>
      </c>
      <c r="S31" s="31">
        <v>0</v>
      </c>
      <c r="T31" s="31">
        <v>0</v>
      </c>
      <c r="U31" s="46">
        <f t="shared" si="6"/>
        <v>1.5776932E-2</v>
      </c>
      <c r="V31" s="32" t="e">
        <f>'SIIF Ejecución  '!#REF!/'ejecucion OAP'!$P$1</f>
        <v>#REF!</v>
      </c>
      <c r="W31" s="32" t="e">
        <f>'SIIF Ejecución  '!#REF!/'ejecucion OAP'!$P$1</f>
        <v>#REF!</v>
      </c>
      <c r="X31" s="69">
        <f t="shared" si="7"/>
        <v>2896.3393080000001</v>
      </c>
      <c r="Y31" s="69">
        <f t="shared" si="8"/>
        <v>2952.6692039999998</v>
      </c>
    </row>
    <row r="32" spans="1:29" ht="33.75" x14ac:dyDescent="0.2">
      <c r="A32" s="24" t="s">
        <v>93</v>
      </c>
      <c r="B32" s="24" t="s">
        <v>80</v>
      </c>
      <c r="C32" s="24" t="s">
        <v>53</v>
      </c>
      <c r="D32" s="30" t="s">
        <v>94</v>
      </c>
      <c r="E32" s="32" t="e">
        <f>+'SIIF Ejecución  '!#REF!/$P$1</f>
        <v>#REF!</v>
      </c>
      <c r="F32" s="32" t="e">
        <f>+'SIIF Ejecución  '!#REF!/$P$1</f>
        <v>#REF!</v>
      </c>
      <c r="G32" s="32" t="e">
        <f>+'SIIF Ejecución  '!#REF!/$P$1</f>
        <v>#REF!</v>
      </c>
      <c r="H32" s="31">
        <f>'SIIF Ejecución  '!C35/'ejecucion OAP'!$P$1</f>
        <v>5000</v>
      </c>
      <c r="I32" s="32" t="e">
        <f>'SIIF Ejecución  '!#REF!/'ejecucion OAP'!$P$1</f>
        <v>#REF!</v>
      </c>
      <c r="J32" s="32" t="e">
        <f>'SIIF Ejecución  '!#REF!</f>
        <v>#REF!</v>
      </c>
      <c r="K32" s="32" t="e">
        <f t="shared" si="9"/>
        <v>#REF!</v>
      </c>
      <c r="L32" s="32" t="e">
        <f>'SIIF Ejecución  '!#REF!</f>
        <v>#REF!</v>
      </c>
      <c r="M32" s="31">
        <v>0</v>
      </c>
      <c r="N32" s="32">
        <f>'SIIF Ejecución  '!D35/'ejecucion OAP'!$P$1</f>
        <v>3470.656735</v>
      </c>
      <c r="O32" s="31">
        <v>0</v>
      </c>
      <c r="P32" s="46">
        <f t="shared" si="10"/>
        <v>0.69413134700000001</v>
      </c>
      <c r="Q32" s="32">
        <f>'SIIF Ejecución  '!E35/'ejecucion OAP'!$P$1</f>
        <v>3258.978486</v>
      </c>
      <c r="R32" s="31">
        <v>0</v>
      </c>
      <c r="S32" s="31">
        <v>0</v>
      </c>
      <c r="T32" s="31">
        <v>0</v>
      </c>
      <c r="U32" s="46">
        <f t="shared" si="6"/>
        <v>0.65179569719999997</v>
      </c>
      <c r="V32" s="32" t="e">
        <f>'SIIF Ejecución  '!#REF!/'ejecucion OAP'!$P$1</f>
        <v>#REF!</v>
      </c>
      <c r="W32" s="32" t="e">
        <f>'SIIF Ejecución  '!#REF!/'ejecucion OAP'!$P$1</f>
        <v>#REF!</v>
      </c>
      <c r="X32" s="69">
        <f t="shared" si="7"/>
        <v>1529.343265</v>
      </c>
      <c r="Y32" s="69">
        <f t="shared" si="8"/>
        <v>1741.021514</v>
      </c>
    </row>
    <row r="33" spans="1:35" ht="33.75" x14ac:dyDescent="0.2">
      <c r="A33" s="24" t="s">
        <v>93</v>
      </c>
      <c r="B33" s="24" t="s">
        <v>80</v>
      </c>
      <c r="C33" s="24" t="s">
        <v>58</v>
      </c>
      <c r="D33" s="30" t="s">
        <v>96</v>
      </c>
      <c r="E33" s="32" t="e">
        <f>+'SIIF Ejecución  '!#REF!/$P$1</f>
        <v>#REF!</v>
      </c>
      <c r="F33" s="32" t="e">
        <f>+'SIIF Ejecución  '!#REF!/$P$1</f>
        <v>#REF!</v>
      </c>
      <c r="G33" s="32" t="e">
        <f>+'SIIF Ejecución  '!#REF!/$P$1</f>
        <v>#REF!</v>
      </c>
      <c r="H33" s="31">
        <f>'SIIF Ejecución  '!C36/'ejecucion OAP'!$P$1</f>
        <v>79083.600808999996</v>
      </c>
      <c r="I33" s="32" t="e">
        <f>'SIIF Ejecución  '!#REF!/'ejecucion OAP'!$P$1</f>
        <v>#REF!</v>
      </c>
      <c r="J33" s="32" t="e">
        <f>'SIIF Ejecución  '!#REF!</f>
        <v>#REF!</v>
      </c>
      <c r="K33" s="32" t="e">
        <f t="shared" si="9"/>
        <v>#REF!</v>
      </c>
      <c r="L33" s="32" t="e">
        <f>'SIIF Ejecución  '!#REF!</f>
        <v>#REF!</v>
      </c>
      <c r="M33" s="31">
        <v>324257448</v>
      </c>
      <c r="N33" s="32">
        <f>'SIIF Ejecución  '!D36/'ejecucion OAP'!$P$1</f>
        <v>55236.366307999997</v>
      </c>
      <c r="O33" s="31">
        <v>0</v>
      </c>
      <c r="P33" s="46">
        <f t="shared" si="10"/>
        <v>0.69845537814350378</v>
      </c>
      <c r="Q33" s="32">
        <f>'SIIF Ejecución  '!E36/'ejecucion OAP'!$P$1</f>
        <v>9249.5366410000006</v>
      </c>
      <c r="R33" s="31">
        <v>0</v>
      </c>
      <c r="S33" s="31">
        <v>0</v>
      </c>
      <c r="T33" s="31">
        <v>0</v>
      </c>
      <c r="U33" s="46">
        <f t="shared" si="6"/>
        <v>0.11695897185232075</v>
      </c>
      <c r="V33" s="32" t="e">
        <f>'SIIF Ejecución  '!#REF!/'ejecucion OAP'!$P$1</f>
        <v>#REF!</v>
      </c>
      <c r="W33" s="32" t="e">
        <f>'SIIF Ejecución  '!#REF!/'ejecucion OAP'!$P$1</f>
        <v>#REF!</v>
      </c>
      <c r="X33" s="69">
        <f t="shared" si="7"/>
        <v>23847.234500999999</v>
      </c>
      <c r="Y33" s="69">
        <f t="shared" si="8"/>
        <v>69834.064167999997</v>
      </c>
    </row>
    <row r="34" spans="1:35" ht="45" x14ac:dyDescent="0.2">
      <c r="A34" s="24" t="s">
        <v>93</v>
      </c>
      <c r="B34" s="24" t="s">
        <v>80</v>
      </c>
      <c r="C34" s="24" t="s">
        <v>98</v>
      </c>
      <c r="D34" s="30" t="s">
        <v>99</v>
      </c>
      <c r="E34" s="32" t="e">
        <f>+'SIIF Ejecución  '!#REF!/$P$1</f>
        <v>#REF!</v>
      </c>
      <c r="F34" s="32" t="e">
        <f>+'SIIF Ejecución  '!#REF!/$P$1</f>
        <v>#REF!</v>
      </c>
      <c r="G34" s="32" t="e">
        <f>+'SIIF Ejecución  '!#REF!/$P$1</f>
        <v>#REF!</v>
      </c>
      <c r="H34" s="31">
        <f>'SIIF Ejecución  '!C37/'ejecucion OAP'!$P$1</f>
        <v>9860</v>
      </c>
      <c r="I34" s="32" t="e">
        <f>'SIIF Ejecución  '!#REF!/'ejecucion OAP'!$P$1</f>
        <v>#REF!</v>
      </c>
      <c r="J34" s="32" t="e">
        <f>'SIIF Ejecución  '!#REF!</f>
        <v>#REF!</v>
      </c>
      <c r="K34" s="32" t="e">
        <f t="shared" si="9"/>
        <v>#REF!</v>
      </c>
      <c r="L34" s="32" t="e">
        <f>'SIIF Ejecución  '!#REF!</f>
        <v>#REF!</v>
      </c>
      <c r="M34" s="31">
        <v>0</v>
      </c>
      <c r="N34" s="32">
        <f>'SIIF Ejecución  '!D37/'ejecucion OAP'!$P$1</f>
        <v>7767.8406500000001</v>
      </c>
      <c r="O34" s="31">
        <v>0</v>
      </c>
      <c r="P34" s="46">
        <f t="shared" si="10"/>
        <v>0.78781345334685604</v>
      </c>
      <c r="Q34" s="32">
        <f>'SIIF Ejecución  '!E37/'ejecucion OAP'!$P$1</f>
        <v>3058.7087710000001</v>
      </c>
      <c r="R34" s="31">
        <v>0</v>
      </c>
      <c r="S34" s="31">
        <v>0</v>
      </c>
      <c r="T34" s="31">
        <v>0</v>
      </c>
      <c r="U34" s="46">
        <f t="shared" si="6"/>
        <v>0.31021387129817446</v>
      </c>
      <c r="V34" s="32" t="e">
        <f>'SIIF Ejecución  '!#REF!/'ejecucion OAP'!$P$1</f>
        <v>#REF!</v>
      </c>
      <c r="W34" s="32" t="e">
        <f>'SIIF Ejecución  '!#REF!/'ejecucion OAP'!$P$1</f>
        <v>#REF!</v>
      </c>
      <c r="X34" s="69">
        <f t="shared" si="7"/>
        <v>2092.1593499999999</v>
      </c>
      <c r="Y34" s="69">
        <f t="shared" si="8"/>
        <v>6801.2912290000004</v>
      </c>
    </row>
    <row r="35" spans="1:35" ht="31.5" customHeight="1" x14ac:dyDescent="0.2">
      <c r="A35" s="61" t="s">
        <v>93</v>
      </c>
      <c r="B35" s="61" t="s">
        <v>80</v>
      </c>
      <c r="C35" s="61" t="s">
        <v>250</v>
      </c>
      <c r="D35" s="71" t="s">
        <v>251</v>
      </c>
      <c r="E35" s="32" t="e">
        <f>+'SIIF Ejecución  '!#REF!/$P$1</f>
        <v>#REF!</v>
      </c>
      <c r="F35" s="32" t="e">
        <f>+'SIIF Ejecución  '!#REF!/$P$1</f>
        <v>#REF!</v>
      </c>
      <c r="G35" s="32" t="e">
        <f>+'SIIF Ejecución  '!#REF!/$P$1</f>
        <v>#REF!</v>
      </c>
      <c r="H35" s="32">
        <f>'SIIF Ejecución  '!C38/'ejecucion OAP'!$P$1</f>
        <v>3605.8093239999998</v>
      </c>
      <c r="I35" s="32" t="e">
        <f>'SIIF Ejecución  '!#REF!/'ejecucion OAP'!$P$1</f>
        <v>#REF!</v>
      </c>
      <c r="J35" s="32"/>
      <c r="K35" s="32"/>
      <c r="L35" s="32"/>
      <c r="M35" s="32"/>
      <c r="N35" s="32">
        <f>'SIIF Ejecución  '!D38/'ejecucion OAP'!$P$1</f>
        <v>2195.432726</v>
      </c>
      <c r="O35" s="32"/>
      <c r="P35" s="46">
        <f t="shared" si="10"/>
        <v>0.60885990598209461</v>
      </c>
      <c r="Q35" s="32">
        <f>'SIIF Ejecución  '!E38/'ejecucion OAP'!$P$1</f>
        <v>0</v>
      </c>
      <c r="R35" s="32"/>
      <c r="S35" s="32"/>
      <c r="T35" s="32"/>
      <c r="U35" s="46">
        <f t="shared" si="6"/>
        <v>0</v>
      </c>
      <c r="V35" s="32" t="e">
        <f>'SIIF Ejecución  '!#REF!/'ejecucion OAP'!$P$1</f>
        <v>#REF!</v>
      </c>
      <c r="W35" s="32" t="e">
        <f>'SIIF Ejecución  '!#REF!/'ejecucion OAP'!$P$1</f>
        <v>#REF!</v>
      </c>
      <c r="X35" s="69"/>
      <c r="Y35" s="69"/>
    </row>
    <row r="36" spans="1:35" ht="45" x14ac:dyDescent="0.2">
      <c r="A36" s="24" t="s">
        <v>101</v>
      </c>
      <c r="B36" s="24" t="s">
        <v>80</v>
      </c>
      <c r="C36" s="24" t="s">
        <v>34</v>
      </c>
      <c r="D36" s="30" t="s">
        <v>102</v>
      </c>
      <c r="E36" s="32" t="e">
        <f>+'SIIF Ejecución  '!#REF!/$P$1</f>
        <v>#REF!</v>
      </c>
      <c r="F36" s="32" t="e">
        <f>+'SIIF Ejecución  '!#REF!/$P$1</f>
        <v>#REF!</v>
      </c>
      <c r="G36" s="32" t="e">
        <f>+'SIIF Ejecución  '!#REF!/$P$1</f>
        <v>#REF!</v>
      </c>
      <c r="H36" s="31">
        <f>'SIIF Ejecución  '!C39/'ejecucion OAP'!$P$1</f>
        <v>5238</v>
      </c>
      <c r="I36" s="32" t="e">
        <f>'SIIF Ejecución  '!#REF!/'ejecucion OAP'!$P$1</f>
        <v>#REF!</v>
      </c>
      <c r="J36" s="32" t="e">
        <f>'SIIF Ejecución  '!#REF!</f>
        <v>#REF!</v>
      </c>
      <c r="K36" s="32" t="e">
        <f t="shared" si="9"/>
        <v>#REF!</v>
      </c>
      <c r="L36" s="32" t="e">
        <f>'SIIF Ejecución  '!#REF!</f>
        <v>#REF!</v>
      </c>
      <c r="M36" s="31">
        <v>0</v>
      </c>
      <c r="N36" s="32">
        <f>'SIIF Ejecución  '!D39/'ejecucion OAP'!$P$1</f>
        <v>832.22431400000005</v>
      </c>
      <c r="O36" s="31">
        <v>0</v>
      </c>
      <c r="P36" s="46">
        <f t="shared" si="10"/>
        <v>0.1588820759831997</v>
      </c>
      <c r="Q36" s="32">
        <f>'SIIF Ejecución  '!E39/'ejecucion OAP'!$P$1</f>
        <v>372.89282600000001</v>
      </c>
      <c r="R36" s="31">
        <v>0</v>
      </c>
      <c r="S36" s="31">
        <v>0</v>
      </c>
      <c r="T36" s="31">
        <v>0</v>
      </c>
      <c r="U36" s="46">
        <f t="shared" si="6"/>
        <v>7.1189924780450553E-2</v>
      </c>
      <c r="V36" s="32" t="e">
        <f>'SIIF Ejecución  '!#REF!/'ejecucion OAP'!$P$1</f>
        <v>#REF!</v>
      </c>
      <c r="W36" s="32" t="e">
        <f>'SIIF Ejecución  '!#REF!/'ejecucion OAP'!$P$1</f>
        <v>#REF!</v>
      </c>
      <c r="X36" s="69">
        <f t="shared" si="7"/>
        <v>4405.775686</v>
      </c>
      <c r="Y36" s="69">
        <f t="shared" si="8"/>
        <v>4865.1071739999998</v>
      </c>
    </row>
    <row r="37" spans="1:35" ht="33.75" x14ac:dyDescent="0.2">
      <c r="A37" s="24" t="s">
        <v>104</v>
      </c>
      <c r="B37" s="24" t="s">
        <v>80</v>
      </c>
      <c r="C37" s="24" t="s">
        <v>34</v>
      </c>
      <c r="D37" s="30" t="s">
        <v>105</v>
      </c>
      <c r="E37" s="32" t="e">
        <f>+'SIIF Ejecución  '!#REF!/$P$1</f>
        <v>#REF!</v>
      </c>
      <c r="F37" s="32" t="e">
        <f>+'SIIF Ejecución  '!#REF!/$P$1</f>
        <v>#REF!</v>
      </c>
      <c r="G37" s="32" t="e">
        <f>+'SIIF Ejecución  '!#REF!/$P$1</f>
        <v>#REF!</v>
      </c>
      <c r="H37" s="31">
        <f>'SIIF Ejecución  '!C40/'ejecucion OAP'!$P$1</f>
        <v>3820</v>
      </c>
      <c r="I37" s="32" t="e">
        <f>'SIIF Ejecución  '!#REF!/'ejecucion OAP'!$P$1</f>
        <v>#REF!</v>
      </c>
      <c r="J37" s="32" t="e">
        <f>'SIIF Ejecución  '!#REF!</f>
        <v>#REF!</v>
      </c>
      <c r="K37" s="32" t="e">
        <f t="shared" si="9"/>
        <v>#REF!</v>
      </c>
      <c r="L37" s="32" t="e">
        <f>'SIIF Ejecución  '!#REF!</f>
        <v>#REF!</v>
      </c>
      <c r="M37" s="31">
        <v>2479757991</v>
      </c>
      <c r="N37" s="32">
        <f>'SIIF Ejecución  '!D40/'ejecucion OAP'!$P$1</f>
        <v>968.47149400000001</v>
      </c>
      <c r="O37" s="31">
        <v>0</v>
      </c>
      <c r="P37" s="46">
        <f t="shared" si="10"/>
        <v>0.25352656910994764</v>
      </c>
      <c r="Q37" s="32">
        <f>'SIIF Ejecución  '!E40/'ejecucion OAP'!$P$1</f>
        <v>967.31479400000001</v>
      </c>
      <c r="R37" s="31">
        <v>0</v>
      </c>
      <c r="S37" s="31">
        <v>0</v>
      </c>
      <c r="T37" s="31">
        <v>0</v>
      </c>
      <c r="U37" s="46">
        <f t="shared" si="6"/>
        <v>0.2532237680628272</v>
      </c>
      <c r="V37" s="32" t="e">
        <f>'SIIF Ejecución  '!#REF!/'ejecucion OAP'!$P$1</f>
        <v>#REF!</v>
      </c>
      <c r="W37" s="32" t="e">
        <f>'SIIF Ejecución  '!#REF!/'ejecucion OAP'!$P$1</f>
        <v>#REF!</v>
      </c>
      <c r="X37" s="69">
        <f t="shared" si="7"/>
        <v>2851.5285060000001</v>
      </c>
      <c r="Y37" s="69">
        <f t="shared" si="8"/>
        <v>2852.6852060000001</v>
      </c>
    </row>
    <row r="38" spans="1:35" ht="33.75" x14ac:dyDescent="0.2">
      <c r="A38" s="24" t="s">
        <v>104</v>
      </c>
      <c r="B38" s="24" t="s">
        <v>80</v>
      </c>
      <c r="C38" s="24" t="s">
        <v>53</v>
      </c>
      <c r="D38" s="30" t="s">
        <v>107</v>
      </c>
      <c r="E38" s="32" t="e">
        <f>+'SIIF Ejecución  '!#REF!/$P$1</f>
        <v>#REF!</v>
      </c>
      <c r="F38" s="32" t="e">
        <f>+'SIIF Ejecución  '!#REF!/$P$1</f>
        <v>#REF!</v>
      </c>
      <c r="G38" s="32" t="e">
        <f>+'SIIF Ejecución  '!#REF!/$P$1</f>
        <v>#REF!</v>
      </c>
      <c r="H38" s="31">
        <f>'SIIF Ejecución  '!C41/'ejecucion OAP'!$P$1</f>
        <v>6915</v>
      </c>
      <c r="I38" s="32" t="e">
        <f>'SIIF Ejecución  '!#REF!/'ejecucion OAP'!$P$1</f>
        <v>#REF!</v>
      </c>
      <c r="J38" s="32" t="e">
        <f>'SIIF Ejecución  '!#REF!</f>
        <v>#REF!</v>
      </c>
      <c r="K38" s="32" t="e">
        <f t="shared" si="9"/>
        <v>#REF!</v>
      </c>
      <c r="L38" s="32" t="e">
        <f>'SIIF Ejecución  '!#REF!</f>
        <v>#REF!</v>
      </c>
      <c r="M38" s="31">
        <v>0</v>
      </c>
      <c r="N38" s="32">
        <f>'SIIF Ejecución  '!D41/'ejecucion OAP'!$P$1</f>
        <v>5940.4955330000003</v>
      </c>
      <c r="O38" s="31">
        <v>0</v>
      </c>
      <c r="P38" s="46">
        <f t="shared" si="10"/>
        <v>0.85907382979031099</v>
      </c>
      <c r="Q38" s="32">
        <f>'SIIF Ejecución  '!E41/'ejecucion OAP'!$P$1</f>
        <v>1019.898413</v>
      </c>
      <c r="R38" s="31">
        <v>0</v>
      </c>
      <c r="S38" s="31">
        <v>0</v>
      </c>
      <c r="T38" s="31">
        <v>0</v>
      </c>
      <c r="U38" s="46">
        <f t="shared" si="6"/>
        <v>0.14749073217642805</v>
      </c>
      <c r="V38" s="32" t="e">
        <f>'SIIF Ejecución  '!#REF!/'ejecucion OAP'!$P$1</f>
        <v>#REF!</v>
      </c>
      <c r="W38" s="32" t="e">
        <f>'SIIF Ejecución  '!#REF!/'ejecucion OAP'!$P$1</f>
        <v>#REF!</v>
      </c>
      <c r="X38" s="69">
        <f t="shared" si="7"/>
        <v>974.50446699999975</v>
      </c>
      <c r="Y38" s="69">
        <f t="shared" si="8"/>
        <v>5895.1015870000001</v>
      </c>
    </row>
    <row r="39" spans="1:35" ht="45" x14ac:dyDescent="0.2">
      <c r="A39" s="24" t="s">
        <v>104</v>
      </c>
      <c r="B39" s="24" t="s">
        <v>80</v>
      </c>
      <c r="C39" s="24" t="s">
        <v>58</v>
      </c>
      <c r="D39" s="30" t="s">
        <v>109</v>
      </c>
      <c r="E39" s="32" t="e">
        <f>+'SIIF Ejecución  '!#REF!/$P$1</f>
        <v>#REF!</v>
      </c>
      <c r="F39" s="32" t="e">
        <f>+'SIIF Ejecución  '!#REF!/$P$1</f>
        <v>#REF!</v>
      </c>
      <c r="G39" s="32" t="e">
        <f>+'SIIF Ejecución  '!#REF!/$P$1</f>
        <v>#REF!</v>
      </c>
      <c r="H39" s="31">
        <f>'SIIF Ejecución  '!C42/'ejecucion OAP'!$P$1</f>
        <v>3877</v>
      </c>
      <c r="I39" s="32" t="e">
        <f>'SIIF Ejecución  '!#REF!/'ejecucion OAP'!$P$1</f>
        <v>#REF!</v>
      </c>
      <c r="J39" s="32" t="e">
        <f>'SIIF Ejecución  '!#REF!</f>
        <v>#REF!</v>
      </c>
      <c r="K39" s="32" t="e">
        <f t="shared" si="9"/>
        <v>#REF!</v>
      </c>
      <c r="L39" s="32" t="e">
        <f>'SIIF Ejecución  '!#REF!</f>
        <v>#REF!</v>
      </c>
      <c r="M39" s="31">
        <v>998252739</v>
      </c>
      <c r="N39" s="32">
        <f>'SIIF Ejecución  '!D42/'ejecucion OAP'!$P$1</f>
        <v>2364.6931949999998</v>
      </c>
      <c r="O39" s="31">
        <v>64276758</v>
      </c>
      <c r="P39" s="46">
        <f t="shared" si="10"/>
        <v>0.60992860330152177</v>
      </c>
      <c r="Q39" s="32">
        <f>'SIIF Ejecución  '!E42/'ejecucion OAP'!$P$1</f>
        <v>1543.5187089999999</v>
      </c>
      <c r="R39" s="31">
        <v>0</v>
      </c>
      <c r="S39" s="31">
        <v>0</v>
      </c>
      <c r="T39" s="31">
        <v>0</v>
      </c>
      <c r="U39" s="46">
        <f t="shared" si="6"/>
        <v>0.39812192648955375</v>
      </c>
      <c r="V39" s="32" t="e">
        <f>'SIIF Ejecución  '!#REF!/'ejecucion OAP'!$P$1</f>
        <v>#REF!</v>
      </c>
      <c r="W39" s="32" t="e">
        <f>'SIIF Ejecución  '!#REF!/'ejecucion OAP'!$P$1</f>
        <v>#REF!</v>
      </c>
      <c r="X39" s="69">
        <f t="shared" si="7"/>
        <v>1512.3068050000002</v>
      </c>
      <c r="Y39" s="69">
        <f t="shared" si="8"/>
        <v>2333.4812910000001</v>
      </c>
    </row>
    <row r="40" spans="1:35" ht="56.25" x14ac:dyDescent="0.2">
      <c r="A40" s="24" t="s">
        <v>104</v>
      </c>
      <c r="B40" s="24" t="s">
        <v>80</v>
      </c>
      <c r="C40" s="24" t="s">
        <v>41</v>
      </c>
      <c r="D40" s="30" t="s">
        <v>111</v>
      </c>
      <c r="E40" s="32" t="e">
        <f>+'SIIF Ejecución  '!#REF!/$P$1</f>
        <v>#REF!</v>
      </c>
      <c r="F40" s="32" t="e">
        <f>+'SIIF Ejecución  '!#REF!/$P$1</f>
        <v>#REF!</v>
      </c>
      <c r="G40" s="32" t="e">
        <f>+'SIIF Ejecución  '!#REF!/$P$1</f>
        <v>#REF!</v>
      </c>
      <c r="H40" s="31">
        <f>'SIIF Ejecución  '!C43/'ejecucion OAP'!$P$1</f>
        <v>5200</v>
      </c>
      <c r="I40" s="32" t="e">
        <f>'SIIF Ejecución  '!#REF!/'ejecucion OAP'!$P$1</f>
        <v>#REF!</v>
      </c>
      <c r="J40" s="32" t="e">
        <f>'SIIF Ejecución  '!#REF!</f>
        <v>#REF!</v>
      </c>
      <c r="K40" s="32" t="e">
        <f t="shared" si="9"/>
        <v>#REF!</v>
      </c>
      <c r="L40" s="32" t="e">
        <f>'SIIF Ejecución  '!#REF!</f>
        <v>#REF!</v>
      </c>
      <c r="M40" s="31">
        <v>0</v>
      </c>
      <c r="N40" s="32">
        <f>'SIIF Ejecución  '!D43/'ejecucion OAP'!$P$1</f>
        <v>2385.6529089999999</v>
      </c>
      <c r="O40" s="31">
        <v>0</v>
      </c>
      <c r="P40" s="46">
        <f t="shared" si="10"/>
        <v>0.45877940557692304</v>
      </c>
      <c r="Q40" s="32">
        <f>'SIIF Ejecución  '!E43/'ejecucion OAP'!$P$1</f>
        <v>2308.4729889999999</v>
      </c>
      <c r="R40" s="31">
        <v>0</v>
      </c>
      <c r="S40" s="31">
        <v>0</v>
      </c>
      <c r="T40" s="31">
        <v>0</v>
      </c>
      <c r="U40" s="46">
        <f t="shared" si="6"/>
        <v>0.44393711326923074</v>
      </c>
      <c r="V40" s="32" t="e">
        <f>'SIIF Ejecución  '!#REF!/'ejecucion OAP'!$P$1</f>
        <v>#REF!</v>
      </c>
      <c r="W40" s="32" t="e">
        <f>'SIIF Ejecución  '!#REF!/'ejecucion OAP'!$P$1</f>
        <v>#REF!</v>
      </c>
      <c r="X40" s="69">
        <f t="shared" si="7"/>
        <v>2814.3470910000001</v>
      </c>
      <c r="Y40" s="69">
        <f t="shared" si="8"/>
        <v>2891.5270110000001</v>
      </c>
      <c r="AH40" s="58"/>
      <c r="AI40" s="58"/>
    </row>
    <row r="41" spans="1:35" ht="33.75" x14ac:dyDescent="0.2">
      <c r="A41" s="24" t="s">
        <v>104</v>
      </c>
      <c r="B41" s="24" t="s">
        <v>80</v>
      </c>
      <c r="C41" s="24" t="s">
        <v>44</v>
      </c>
      <c r="D41" s="30" t="s">
        <v>113</v>
      </c>
      <c r="E41" s="32" t="e">
        <f>+'SIIF Ejecución  '!#REF!/$P$1</f>
        <v>#REF!</v>
      </c>
      <c r="F41" s="32" t="e">
        <f>+'SIIF Ejecución  '!#REF!/$P$1</f>
        <v>#REF!</v>
      </c>
      <c r="G41" s="32" t="e">
        <f>+'SIIF Ejecución  '!#REF!/$P$1</f>
        <v>#REF!</v>
      </c>
      <c r="H41" s="31">
        <f>'SIIF Ejecución  '!C44/'ejecucion OAP'!$P$1</f>
        <v>5000</v>
      </c>
      <c r="I41" s="32" t="e">
        <f>'SIIF Ejecución  '!#REF!/'ejecucion OAP'!$P$1</f>
        <v>#REF!</v>
      </c>
      <c r="J41" s="32" t="e">
        <f>'SIIF Ejecución  '!#REF!</f>
        <v>#REF!</v>
      </c>
      <c r="K41" s="32" t="e">
        <f t="shared" si="9"/>
        <v>#REF!</v>
      </c>
      <c r="L41" s="32" t="e">
        <f>'SIIF Ejecución  '!#REF!</f>
        <v>#REF!</v>
      </c>
      <c r="M41" s="31">
        <v>15000000000</v>
      </c>
      <c r="N41" s="32">
        <f>'SIIF Ejecución  '!D44/'ejecucion OAP'!$P$1</f>
        <v>1804.321142</v>
      </c>
      <c r="O41" s="31">
        <v>0</v>
      </c>
      <c r="P41" s="46">
        <f t="shared" si="10"/>
        <v>0.36086422839999999</v>
      </c>
      <c r="Q41" s="32">
        <f>'SIIF Ejecución  '!E44/'ejecucion OAP'!$P$1</f>
        <v>541.29634299999998</v>
      </c>
      <c r="R41" s="31">
        <v>0</v>
      </c>
      <c r="S41" s="31">
        <v>0</v>
      </c>
      <c r="T41" s="31">
        <v>0</v>
      </c>
      <c r="U41" s="46">
        <f t="shared" si="6"/>
        <v>0.1082592686</v>
      </c>
      <c r="V41" s="32" t="e">
        <f>'SIIF Ejecución  '!#REF!/'ejecucion OAP'!$P$1</f>
        <v>#REF!</v>
      </c>
      <c r="W41" s="32" t="e">
        <f>'SIIF Ejecución  '!#REF!/'ejecucion OAP'!$P$1</f>
        <v>#REF!</v>
      </c>
      <c r="X41" s="69">
        <f t="shared" si="7"/>
        <v>3195.6788580000002</v>
      </c>
      <c r="Y41" s="69">
        <f t="shared" si="8"/>
        <v>4458.703657</v>
      </c>
      <c r="AH41" s="58"/>
    </row>
    <row r="42" spans="1:35" ht="29.25" customHeight="1" x14ac:dyDescent="0.2">
      <c r="A42" s="24" t="s">
        <v>104</v>
      </c>
      <c r="B42" s="24" t="s">
        <v>80</v>
      </c>
      <c r="C42" s="24" t="s">
        <v>69</v>
      </c>
      <c r="D42" s="30" t="s">
        <v>115</v>
      </c>
      <c r="E42" s="32" t="e">
        <f>+'SIIF Ejecución  '!#REF!/$P$1</f>
        <v>#REF!</v>
      </c>
      <c r="F42" s="32" t="e">
        <f>+'SIIF Ejecución  '!#REF!/$P$1</f>
        <v>#REF!</v>
      </c>
      <c r="G42" s="32" t="e">
        <f>+'SIIF Ejecución  '!#REF!/$P$1</f>
        <v>#REF!</v>
      </c>
      <c r="H42" s="32">
        <f>'SIIF Ejecución  '!C45/'ejecucion OAP'!$P$1</f>
        <v>9481.2720059999992</v>
      </c>
      <c r="I42" s="32" t="e">
        <f>'SIIF Ejecución  '!#REF!/'ejecucion OAP'!$P$1</f>
        <v>#REF!</v>
      </c>
      <c r="J42" s="32" t="e">
        <f>'SIIF Ejecución  '!#REF!</f>
        <v>#REF!</v>
      </c>
      <c r="K42" s="32" t="e">
        <f t="shared" si="9"/>
        <v>#REF!</v>
      </c>
      <c r="L42" s="32" t="e">
        <f>'SIIF Ejecución  '!#REF!</f>
        <v>#REF!</v>
      </c>
      <c r="M42" s="32">
        <v>15000000000</v>
      </c>
      <c r="N42" s="32">
        <f>'SIIF Ejecución  '!D45/'ejecucion OAP'!$P$1</f>
        <v>9481.2720059999992</v>
      </c>
      <c r="O42" s="32"/>
      <c r="P42" s="46">
        <f t="shared" si="10"/>
        <v>1</v>
      </c>
      <c r="Q42" s="32">
        <f>'SIIF Ejecución  '!E45/'ejecucion OAP'!$P$1</f>
        <v>0</v>
      </c>
      <c r="R42" s="32"/>
      <c r="S42" s="32"/>
      <c r="T42" s="32"/>
      <c r="U42" s="46">
        <f t="shared" si="6"/>
        <v>0</v>
      </c>
      <c r="V42" s="32" t="e">
        <f>'SIIF Ejecución  '!#REF!/'ejecucion OAP'!$P$1</f>
        <v>#REF!</v>
      </c>
      <c r="W42" s="32" t="e">
        <f>'SIIF Ejecución  '!#REF!/'ejecucion OAP'!$P$1</f>
        <v>#REF!</v>
      </c>
      <c r="X42" s="69">
        <f t="shared" si="7"/>
        <v>0</v>
      </c>
      <c r="Y42" s="69">
        <f t="shared" si="8"/>
        <v>9481.2720059999992</v>
      </c>
    </row>
    <row r="43" spans="1:35" ht="22.5" x14ac:dyDescent="0.2">
      <c r="A43" s="61" t="s">
        <v>104</v>
      </c>
      <c r="B43" s="61" t="s">
        <v>80</v>
      </c>
      <c r="C43" s="61" t="s">
        <v>69</v>
      </c>
      <c r="D43" s="30" t="s">
        <v>115</v>
      </c>
      <c r="E43" s="32" t="e">
        <f>+'SIIF Ejecución  '!#REF!/$P$1</f>
        <v>#REF!</v>
      </c>
      <c r="F43" s="32" t="e">
        <f>+'SIIF Ejecución  '!#REF!/$P$1</f>
        <v>#REF!</v>
      </c>
      <c r="G43" s="32" t="e">
        <f>+'SIIF Ejecución  '!#REF!/$P$1</f>
        <v>#REF!</v>
      </c>
      <c r="H43" s="31">
        <f>'SIIF Ejecución  '!C46/'ejecucion OAP'!$P$1</f>
        <v>9906.1988039999997</v>
      </c>
      <c r="I43" s="32" t="e">
        <f>'SIIF Ejecución  '!#REF!/'ejecucion OAP'!$P$1</f>
        <v>#REF!</v>
      </c>
      <c r="J43" s="32" t="e">
        <f>'SIIF Ejecución  '!#REF!</f>
        <v>#REF!</v>
      </c>
      <c r="K43" s="32" t="e">
        <f t="shared" si="9"/>
        <v>#REF!</v>
      </c>
      <c r="L43" s="32" t="e">
        <f>'SIIF Ejecución  '!#REF!</f>
        <v>#REF!</v>
      </c>
      <c r="M43" s="31">
        <v>58600000</v>
      </c>
      <c r="N43" s="32">
        <f>'SIIF Ejecución  '!D46/'ejecucion OAP'!$P$1</f>
        <v>9906.1988039999997</v>
      </c>
      <c r="O43" s="31">
        <v>0</v>
      </c>
      <c r="P43" s="46">
        <f t="shared" si="10"/>
        <v>1</v>
      </c>
      <c r="Q43" s="32">
        <f>'SIIF Ejecución  '!E46/'ejecucion OAP'!$P$1</f>
        <v>8375.3165969999991</v>
      </c>
      <c r="R43" s="31">
        <v>0</v>
      </c>
      <c r="S43" s="31">
        <v>0</v>
      </c>
      <c r="T43" s="31">
        <v>0</v>
      </c>
      <c r="U43" s="46">
        <f t="shared" si="6"/>
        <v>0.84546219621780161</v>
      </c>
      <c r="V43" s="32" t="e">
        <f>'SIIF Ejecución  '!#REF!/'ejecucion OAP'!$P$1</f>
        <v>#REF!</v>
      </c>
      <c r="W43" s="32" t="e">
        <f>'SIIF Ejecución  '!#REF!/'ejecucion OAP'!$P$1</f>
        <v>#REF!</v>
      </c>
      <c r="X43" s="69">
        <f t="shared" si="7"/>
        <v>0</v>
      </c>
      <c r="Y43" s="69">
        <f t="shared" si="8"/>
        <v>1530.8822070000006</v>
      </c>
    </row>
    <row r="44" spans="1:35" ht="45" x14ac:dyDescent="0.2">
      <c r="A44" s="24" t="s">
        <v>104</v>
      </c>
      <c r="B44" s="24" t="s">
        <v>80</v>
      </c>
      <c r="C44" s="24" t="s">
        <v>74</v>
      </c>
      <c r="D44" s="30" t="s">
        <v>117</v>
      </c>
      <c r="E44" s="32" t="e">
        <f>+'SIIF Ejecución  '!#REF!/$P$1</f>
        <v>#REF!</v>
      </c>
      <c r="F44" s="32" t="e">
        <f>+'SIIF Ejecución  '!#REF!/$P$1</f>
        <v>#REF!</v>
      </c>
      <c r="G44" s="32" t="e">
        <f>+'SIIF Ejecución  '!#REF!/$P$1</f>
        <v>#REF!</v>
      </c>
      <c r="H44" s="31">
        <f>'SIIF Ejecución  '!C47/'ejecucion OAP'!$P$1</f>
        <v>3200</v>
      </c>
      <c r="I44" s="32" t="e">
        <f>'SIIF Ejecución  '!#REF!/'ejecucion OAP'!$P$1</f>
        <v>#REF!</v>
      </c>
      <c r="J44" s="32" t="e">
        <f>'SIIF Ejecución  '!#REF!</f>
        <v>#REF!</v>
      </c>
      <c r="K44" s="32" t="e">
        <f t="shared" si="9"/>
        <v>#REF!</v>
      </c>
      <c r="L44" s="32" t="e">
        <f>'SIIF Ejecución  '!#REF!</f>
        <v>#REF!</v>
      </c>
      <c r="M44" s="31">
        <v>0</v>
      </c>
      <c r="N44" s="32">
        <f>'SIIF Ejecución  '!D47/'ejecucion OAP'!$P$1</f>
        <v>2412.2306248</v>
      </c>
      <c r="O44" s="31">
        <v>0</v>
      </c>
      <c r="P44" s="46">
        <f t="shared" si="10"/>
        <v>0.75382207025000003</v>
      </c>
      <c r="Q44" s="32">
        <f>'SIIF Ejecución  '!E47/'ejecucion OAP'!$P$1</f>
        <v>1354.5934468</v>
      </c>
      <c r="R44" s="31">
        <v>0</v>
      </c>
      <c r="S44" s="31">
        <v>0</v>
      </c>
      <c r="T44" s="31">
        <v>0</v>
      </c>
      <c r="U44" s="46">
        <f t="shared" si="6"/>
        <v>0.42331045212500001</v>
      </c>
      <c r="V44" s="32" t="e">
        <f>'SIIF Ejecución  '!#REF!/'ejecucion OAP'!$P$1</f>
        <v>#REF!</v>
      </c>
      <c r="W44" s="32" t="e">
        <f>'SIIF Ejecución  '!#REF!/'ejecucion OAP'!$P$1</f>
        <v>#REF!</v>
      </c>
      <c r="X44" s="69">
        <f t="shared" si="7"/>
        <v>787.76937520000001</v>
      </c>
      <c r="Y44" s="69">
        <f t="shared" si="8"/>
        <v>1845.4065532</v>
      </c>
    </row>
    <row r="45" spans="1:35" ht="33.75" x14ac:dyDescent="0.2">
      <c r="A45" s="24" t="s">
        <v>104</v>
      </c>
      <c r="B45" s="24" t="s">
        <v>80</v>
      </c>
      <c r="C45" s="24" t="s">
        <v>119</v>
      </c>
      <c r="D45" s="30" t="s">
        <v>120</v>
      </c>
      <c r="E45" s="32" t="e">
        <f>+'SIIF Ejecución  '!#REF!/$P$1</f>
        <v>#REF!</v>
      </c>
      <c r="F45" s="32" t="e">
        <f>+'SIIF Ejecución  '!#REF!/$P$1</f>
        <v>#REF!</v>
      </c>
      <c r="G45" s="32" t="e">
        <f>+'SIIF Ejecución  '!#REF!/$P$1</f>
        <v>#REF!</v>
      </c>
      <c r="H45" s="31">
        <f>'SIIF Ejecución  '!C48/'ejecucion OAP'!$P$1</f>
        <v>2000</v>
      </c>
      <c r="I45" s="32" t="e">
        <f>'SIIF Ejecución  '!#REF!/'ejecucion OAP'!$P$1</f>
        <v>#REF!</v>
      </c>
      <c r="J45" s="32" t="e">
        <f>'SIIF Ejecución  '!#REF!</f>
        <v>#REF!</v>
      </c>
      <c r="K45" s="32" t="e">
        <f t="shared" si="9"/>
        <v>#REF!</v>
      </c>
      <c r="L45" s="32" t="e">
        <f>'SIIF Ejecución  '!#REF!</f>
        <v>#REF!</v>
      </c>
      <c r="M45" s="31">
        <v>0</v>
      </c>
      <c r="N45" s="32">
        <f>'SIIF Ejecución  '!D48/'ejecucion OAP'!$P$1</f>
        <v>671.85115800000005</v>
      </c>
      <c r="O45" s="31">
        <v>0</v>
      </c>
      <c r="P45" s="46">
        <f t="shared" si="10"/>
        <v>0.33592557900000003</v>
      </c>
      <c r="Q45" s="32">
        <f>'SIIF Ejecución  '!E48/'ejecucion OAP'!$P$1</f>
        <v>0</v>
      </c>
      <c r="R45" s="31">
        <v>0</v>
      </c>
      <c r="S45" s="31">
        <v>0</v>
      </c>
      <c r="T45" s="31">
        <v>0</v>
      </c>
      <c r="U45" s="46">
        <f t="shared" si="6"/>
        <v>0</v>
      </c>
      <c r="V45" s="32" t="e">
        <f>'SIIF Ejecución  '!#REF!/'ejecucion OAP'!$P$1</f>
        <v>#REF!</v>
      </c>
      <c r="W45" s="32" t="e">
        <f>'SIIF Ejecución  '!#REF!/'ejecucion OAP'!$P$1</f>
        <v>#REF!</v>
      </c>
      <c r="X45" s="69">
        <f t="shared" si="7"/>
        <v>1328.1488420000001</v>
      </c>
      <c r="Y45" s="69">
        <f t="shared" si="8"/>
        <v>2000</v>
      </c>
    </row>
    <row r="46" spans="1:35" ht="51" customHeight="1" x14ac:dyDescent="0.2">
      <c r="A46" s="24" t="s">
        <v>104</v>
      </c>
      <c r="B46" s="24" t="s">
        <v>80</v>
      </c>
      <c r="C46" s="24" t="s">
        <v>47</v>
      </c>
      <c r="D46" s="30" t="s">
        <v>122</v>
      </c>
      <c r="E46" s="32" t="e">
        <f>+'SIIF Ejecución  '!#REF!/$P$1</f>
        <v>#REF!</v>
      </c>
      <c r="F46" s="32" t="e">
        <f>+'SIIF Ejecución  '!#REF!/$P$1</f>
        <v>#REF!</v>
      </c>
      <c r="G46" s="32" t="e">
        <f>+'SIIF Ejecución  '!#REF!/$P$1</f>
        <v>#REF!</v>
      </c>
      <c r="H46" s="32">
        <f>'SIIF Ejecución  '!C49/'ejecucion OAP'!$P$1</f>
        <v>11000</v>
      </c>
      <c r="I46" s="32" t="e">
        <f>'SIIF Ejecución  '!#REF!/'ejecucion OAP'!$P$1</f>
        <v>#REF!</v>
      </c>
      <c r="J46" s="32" t="e">
        <f>'SIIF Ejecución  '!#REF!</f>
        <v>#REF!</v>
      </c>
      <c r="K46" s="32" t="e">
        <f t="shared" si="9"/>
        <v>#REF!</v>
      </c>
      <c r="L46" s="32" t="e">
        <f>'SIIF Ejecución  '!#REF!</f>
        <v>#REF!</v>
      </c>
      <c r="M46" s="32"/>
      <c r="N46" s="32">
        <f>'SIIF Ejecución  '!D49/'ejecucion OAP'!$P$1</f>
        <v>10654.10591</v>
      </c>
      <c r="O46" s="32"/>
      <c r="P46" s="46">
        <f t="shared" si="10"/>
        <v>0.96855508272727275</v>
      </c>
      <c r="Q46" s="32">
        <f>'SIIF Ejecución  '!E49/'ejecucion OAP'!$P$1</f>
        <v>0</v>
      </c>
      <c r="R46" s="32"/>
      <c r="S46" s="32"/>
      <c r="T46" s="32"/>
      <c r="U46" s="46">
        <f t="shared" si="6"/>
        <v>0</v>
      </c>
      <c r="V46" s="32" t="e">
        <f>'SIIF Ejecución  '!#REF!/'ejecucion OAP'!$P$1</f>
        <v>#REF!</v>
      </c>
      <c r="W46" s="32" t="e">
        <f>'SIIF Ejecución  '!#REF!/'ejecucion OAP'!$P$1</f>
        <v>#REF!</v>
      </c>
      <c r="X46" s="69">
        <f t="shared" si="7"/>
        <v>345.89408999999978</v>
      </c>
      <c r="Y46" s="69">
        <f t="shared" si="8"/>
        <v>11000</v>
      </c>
    </row>
    <row r="47" spans="1:35" ht="42.75" customHeight="1" x14ac:dyDescent="0.2">
      <c r="A47" s="61" t="s">
        <v>104</v>
      </c>
      <c r="B47" s="61" t="s">
        <v>80</v>
      </c>
      <c r="C47" s="61" t="s">
        <v>50</v>
      </c>
      <c r="D47" s="30" t="s">
        <v>124</v>
      </c>
      <c r="E47" s="32" t="e">
        <f>+'SIIF Ejecución  '!#REF!/$P$1</f>
        <v>#REF!</v>
      </c>
      <c r="F47" s="32" t="e">
        <f>+'SIIF Ejecución  '!#REF!/$P$1</f>
        <v>#REF!</v>
      </c>
      <c r="G47" s="32" t="e">
        <f>+'SIIF Ejecución  '!#REF!/$P$1</f>
        <v>#REF!</v>
      </c>
      <c r="H47" s="32">
        <f>'SIIF Ejecución  '!C50/'ejecucion OAP'!$P$1</f>
        <v>509.19600000000003</v>
      </c>
      <c r="I47" s="32" t="e">
        <f>'SIIF Ejecución  '!#REF!/'ejecucion OAP'!$P$1</f>
        <v>#REF!</v>
      </c>
      <c r="J47" s="32" t="e">
        <f>'SIIF Ejecución  '!#REF!</f>
        <v>#REF!</v>
      </c>
      <c r="K47" s="32" t="e">
        <f t="shared" si="9"/>
        <v>#REF!</v>
      </c>
      <c r="L47" s="32" t="e">
        <f>'SIIF Ejecución  '!#REF!</f>
        <v>#REF!</v>
      </c>
      <c r="M47" s="31">
        <v>343278548</v>
      </c>
      <c r="N47" s="32">
        <f>'SIIF Ejecución  '!D50/'ejecucion OAP'!$P$1</f>
        <v>229.6095</v>
      </c>
      <c r="O47" s="31">
        <v>0</v>
      </c>
      <c r="P47" s="46">
        <f t="shared" si="10"/>
        <v>0.45092557679164796</v>
      </c>
      <c r="Q47" s="32">
        <f>'SIIF Ejecución  '!E50/'ejecucion OAP'!$P$1</f>
        <v>107.5432</v>
      </c>
      <c r="R47" s="31">
        <v>0</v>
      </c>
      <c r="S47" s="31">
        <v>0</v>
      </c>
      <c r="T47" s="31">
        <v>0</v>
      </c>
      <c r="U47" s="46">
        <f t="shared" si="6"/>
        <v>0.21120197330693877</v>
      </c>
      <c r="V47" s="32" t="e">
        <f>'SIIF Ejecución  '!#REF!/'ejecucion OAP'!$P$1</f>
        <v>#REF!</v>
      </c>
      <c r="W47" s="32" t="e">
        <f>'SIIF Ejecución  '!#REF!/'ejecucion OAP'!$P$1</f>
        <v>#REF!</v>
      </c>
      <c r="X47" s="69">
        <f t="shared" si="7"/>
        <v>279.5865</v>
      </c>
      <c r="Y47" s="69">
        <f t="shared" si="8"/>
        <v>401.65280000000001</v>
      </c>
    </row>
    <row r="48" spans="1:35" ht="56.25" x14ac:dyDescent="0.2">
      <c r="A48" s="24" t="s">
        <v>104</v>
      </c>
      <c r="B48" s="24" t="s">
        <v>80</v>
      </c>
      <c r="C48" s="24" t="s">
        <v>50</v>
      </c>
      <c r="D48" s="30" t="s">
        <v>124</v>
      </c>
      <c r="E48" s="32" t="e">
        <f>+'SIIF Ejecución  '!#REF!/$P$1</f>
        <v>#REF!</v>
      </c>
      <c r="F48" s="32" t="e">
        <f>+'SIIF Ejecución  '!#REF!/$P$1</f>
        <v>#REF!</v>
      </c>
      <c r="G48" s="32" t="e">
        <f>+'SIIF Ejecución  '!#REF!/$P$1</f>
        <v>#REF!</v>
      </c>
      <c r="H48" s="31">
        <f>'SIIF Ejecución  '!C51/'ejecucion OAP'!$P$1</f>
        <v>8867.8739999999998</v>
      </c>
      <c r="I48" s="32" t="e">
        <f>'SIIF Ejecución  '!#REF!/'ejecucion OAP'!$P$1</f>
        <v>#REF!</v>
      </c>
      <c r="J48" s="32" t="e">
        <f>'SIIF Ejecución  '!#REF!</f>
        <v>#REF!</v>
      </c>
      <c r="K48" s="32" t="e">
        <f t="shared" si="9"/>
        <v>#REF!</v>
      </c>
      <c r="L48" s="32" t="e">
        <f>'SIIF Ejecución  '!#REF!</f>
        <v>#REF!</v>
      </c>
      <c r="M48" s="31">
        <v>0</v>
      </c>
      <c r="N48" s="32">
        <f>'SIIF Ejecución  '!D51/'ejecucion OAP'!$P$1</f>
        <v>6696.1723229999998</v>
      </c>
      <c r="O48" s="31">
        <v>0</v>
      </c>
      <c r="P48" s="46">
        <f t="shared" si="10"/>
        <v>0.75510458572144801</v>
      </c>
      <c r="Q48" s="32">
        <f>'SIIF Ejecución  '!E51/'ejecucion OAP'!$P$1</f>
        <v>4260.7618650000004</v>
      </c>
      <c r="R48" s="31">
        <v>0</v>
      </c>
      <c r="S48" s="31">
        <v>0</v>
      </c>
      <c r="T48" s="31">
        <v>0</v>
      </c>
      <c r="U48" s="46">
        <f t="shared" si="6"/>
        <v>0.48047162882557876</v>
      </c>
      <c r="V48" s="32" t="e">
        <f>'SIIF Ejecución  '!#REF!/'ejecucion OAP'!$P$1</f>
        <v>#REF!</v>
      </c>
      <c r="W48" s="32" t="e">
        <f>'SIIF Ejecución  '!#REF!/'ejecucion OAP'!$P$1</f>
        <v>#REF!</v>
      </c>
      <c r="X48" s="69">
        <f t="shared" si="7"/>
        <v>2171.701677</v>
      </c>
      <c r="Y48" s="69">
        <f t="shared" si="8"/>
        <v>4607.1121349999994</v>
      </c>
    </row>
    <row r="49" spans="1:28" ht="33.75" x14ac:dyDescent="0.2">
      <c r="A49" s="24" t="s">
        <v>104</v>
      </c>
      <c r="B49" s="24" t="s">
        <v>80</v>
      </c>
      <c r="C49" s="24" t="s">
        <v>83</v>
      </c>
      <c r="D49" s="30" t="s">
        <v>126</v>
      </c>
      <c r="E49" s="32" t="e">
        <f>+'SIIF Ejecución  '!#REF!/$P$1</f>
        <v>#REF!</v>
      </c>
      <c r="F49" s="32" t="e">
        <f>+'SIIF Ejecución  '!#REF!/$P$1</f>
        <v>#REF!</v>
      </c>
      <c r="G49" s="32" t="e">
        <f>+'SIIF Ejecución  '!#REF!/$P$1</f>
        <v>#REF!</v>
      </c>
      <c r="H49" s="31">
        <f>'SIIF Ejecución  '!C52/'ejecucion OAP'!$P$1</f>
        <v>10000</v>
      </c>
      <c r="I49" s="32" t="e">
        <f>'SIIF Ejecución  '!#REF!/'ejecucion OAP'!$P$1</f>
        <v>#REF!</v>
      </c>
      <c r="J49" s="32" t="e">
        <f>'SIIF Ejecución  '!#REF!</f>
        <v>#REF!</v>
      </c>
      <c r="K49" s="32" t="e">
        <f t="shared" si="9"/>
        <v>#REF!</v>
      </c>
      <c r="L49" s="32" t="e">
        <f>'SIIF Ejecución  '!#REF!</f>
        <v>#REF!</v>
      </c>
      <c r="M49" s="31">
        <v>0</v>
      </c>
      <c r="N49" s="32">
        <f>'SIIF Ejecución  '!D52/'ejecucion OAP'!$P$1</f>
        <v>6704.5296239999998</v>
      </c>
      <c r="O49" s="31">
        <v>0</v>
      </c>
      <c r="P49" s="46">
        <f t="shared" si="10"/>
        <v>0.67045296239999996</v>
      </c>
      <c r="Q49" s="32">
        <f>'SIIF Ejecución  '!E52/'ejecucion OAP'!$P$1</f>
        <v>3474.6849809999999</v>
      </c>
      <c r="R49" s="31">
        <v>0</v>
      </c>
      <c r="S49" s="31">
        <v>0</v>
      </c>
      <c r="T49" s="31">
        <v>0</v>
      </c>
      <c r="U49" s="46">
        <f t="shared" si="6"/>
        <v>0.34746849809999997</v>
      </c>
      <c r="V49" s="32" t="e">
        <f>'SIIF Ejecución  '!#REF!/'ejecucion OAP'!$P$1</f>
        <v>#REF!</v>
      </c>
      <c r="W49" s="32" t="e">
        <f>'SIIF Ejecución  '!#REF!/'ejecucion OAP'!$P$1</f>
        <v>#REF!</v>
      </c>
      <c r="X49" s="69">
        <f t="shared" si="7"/>
        <v>3295.4703760000002</v>
      </c>
      <c r="Y49" s="69">
        <f t="shared" si="8"/>
        <v>6525.3150189999997</v>
      </c>
    </row>
    <row r="50" spans="1:28" ht="33.75" x14ac:dyDescent="0.2">
      <c r="A50" s="24" t="s">
        <v>104</v>
      </c>
      <c r="B50" s="24" t="s">
        <v>80</v>
      </c>
      <c r="C50" s="24" t="s">
        <v>128</v>
      </c>
      <c r="D50" s="30" t="s">
        <v>129</v>
      </c>
      <c r="E50" s="32" t="e">
        <f>+'SIIF Ejecución  '!#REF!/$P$1</f>
        <v>#REF!</v>
      </c>
      <c r="F50" s="32" t="e">
        <f>+'SIIF Ejecución  '!#REF!/$P$1</f>
        <v>#REF!</v>
      </c>
      <c r="G50" s="32" t="e">
        <f>+'SIIF Ejecución  '!#REF!/$P$1</f>
        <v>#REF!</v>
      </c>
      <c r="H50" s="31">
        <f>'SIIF Ejecución  '!C53/'ejecucion OAP'!$P$1</f>
        <v>1077</v>
      </c>
      <c r="I50" s="32" t="e">
        <f>'SIIF Ejecución  '!#REF!/'ejecucion OAP'!$P$1</f>
        <v>#REF!</v>
      </c>
      <c r="J50" s="32" t="e">
        <f>'SIIF Ejecución  '!#REF!</f>
        <v>#REF!</v>
      </c>
      <c r="K50" s="32" t="e">
        <f t="shared" si="9"/>
        <v>#REF!</v>
      </c>
      <c r="L50" s="32" t="e">
        <f>'SIIF Ejecución  '!#REF!</f>
        <v>#REF!</v>
      </c>
      <c r="M50" s="31">
        <v>1195200000</v>
      </c>
      <c r="N50" s="32">
        <f>'SIIF Ejecución  '!D53/'ejecucion OAP'!$P$1</f>
        <v>292.39241099999998</v>
      </c>
      <c r="O50" s="31">
        <v>0</v>
      </c>
      <c r="P50" s="46">
        <f t="shared" si="10"/>
        <v>0.27148784679665738</v>
      </c>
      <c r="Q50" s="32">
        <f>'SIIF Ejecución  '!E53/'ejecucion OAP'!$P$1</f>
        <v>63.988643000000003</v>
      </c>
      <c r="R50" s="31">
        <v>0</v>
      </c>
      <c r="S50" s="31">
        <v>0</v>
      </c>
      <c r="T50" s="31">
        <v>0</v>
      </c>
      <c r="U50" s="46">
        <f t="shared" si="6"/>
        <v>5.9413781801299907E-2</v>
      </c>
      <c r="V50" s="32" t="e">
        <f>'SIIF Ejecución  '!#REF!/'ejecucion OAP'!$P$1</f>
        <v>#REF!</v>
      </c>
      <c r="W50" s="32" t="e">
        <f>'SIIF Ejecución  '!#REF!/'ejecucion OAP'!$P$1</f>
        <v>#REF!</v>
      </c>
      <c r="X50" s="69">
        <f t="shared" si="7"/>
        <v>784.60758899999996</v>
      </c>
      <c r="Y50" s="69">
        <f t="shared" si="8"/>
        <v>1013.011357</v>
      </c>
    </row>
    <row r="51" spans="1:28" ht="22.5" x14ac:dyDescent="0.2">
      <c r="A51" s="24" t="s">
        <v>104</v>
      </c>
      <c r="B51" s="24" t="s">
        <v>80</v>
      </c>
      <c r="C51" s="24" t="s">
        <v>131</v>
      </c>
      <c r="D51" s="30" t="s">
        <v>132</v>
      </c>
      <c r="E51" s="32" t="e">
        <f>+'SIIF Ejecución  '!#REF!/$P$1</f>
        <v>#REF!</v>
      </c>
      <c r="F51" s="32" t="e">
        <f>+'SIIF Ejecución  '!#REF!/$P$1</f>
        <v>#REF!</v>
      </c>
      <c r="G51" s="32" t="e">
        <f>+'SIIF Ejecución  '!#REF!/$P$1</f>
        <v>#REF!</v>
      </c>
      <c r="H51" s="31">
        <f>'SIIF Ejecución  '!C54/'ejecucion OAP'!$P$1</f>
        <v>2990</v>
      </c>
      <c r="I51" s="32" t="e">
        <f>'SIIF Ejecución  '!#REF!/'ejecucion OAP'!$P$1</f>
        <v>#REF!</v>
      </c>
      <c r="J51" s="32" t="e">
        <f>'SIIF Ejecución  '!#REF!</f>
        <v>#REF!</v>
      </c>
      <c r="K51" s="32" t="e">
        <f t="shared" si="9"/>
        <v>#REF!</v>
      </c>
      <c r="L51" s="32" t="e">
        <f>'SIIF Ejecución  '!#REF!</f>
        <v>#REF!</v>
      </c>
      <c r="M51" s="31">
        <v>0</v>
      </c>
      <c r="N51" s="32">
        <f>'SIIF Ejecución  '!D54/'ejecucion OAP'!$P$1</f>
        <v>2453.61</v>
      </c>
      <c r="O51" s="31">
        <v>0</v>
      </c>
      <c r="P51" s="46">
        <f t="shared" si="10"/>
        <v>0.82060535117056865</v>
      </c>
      <c r="Q51" s="32">
        <f>'SIIF Ejecución  '!E54/'ejecucion OAP'!$P$1</f>
        <v>1747.2810910000001</v>
      </c>
      <c r="R51" s="31">
        <v>0</v>
      </c>
      <c r="S51" s="31">
        <v>0</v>
      </c>
      <c r="T51" s="31">
        <v>0</v>
      </c>
      <c r="U51" s="46">
        <f t="shared" si="6"/>
        <v>0.58437494682274249</v>
      </c>
      <c r="V51" s="32" t="e">
        <f>'SIIF Ejecución  '!#REF!/'ejecucion OAP'!$P$1</f>
        <v>#REF!</v>
      </c>
      <c r="W51" s="32" t="e">
        <f>'SIIF Ejecución  '!#REF!/'ejecucion OAP'!$P$1</f>
        <v>#REF!</v>
      </c>
      <c r="X51" s="69">
        <f t="shared" si="7"/>
        <v>536.38999999999987</v>
      </c>
      <c r="Y51" s="69">
        <f t="shared" si="8"/>
        <v>1242.7189089999999</v>
      </c>
    </row>
    <row r="52" spans="1:28" ht="33.75" x14ac:dyDescent="0.2">
      <c r="A52" s="24" t="s">
        <v>104</v>
      </c>
      <c r="B52" s="24" t="s">
        <v>80</v>
      </c>
      <c r="C52" s="24" t="s">
        <v>134</v>
      </c>
      <c r="D52" s="30" t="s">
        <v>135</v>
      </c>
      <c r="E52" s="32" t="e">
        <f>+'SIIF Ejecución  '!#REF!/$P$1</f>
        <v>#REF!</v>
      </c>
      <c r="F52" s="32" t="e">
        <f>+'SIIF Ejecución  '!#REF!/$P$1</f>
        <v>#REF!</v>
      </c>
      <c r="G52" s="32" t="e">
        <f>+'SIIF Ejecución  '!#REF!/$P$1</f>
        <v>#REF!</v>
      </c>
      <c r="H52" s="31">
        <f>'SIIF Ejecución  '!C55/'ejecucion OAP'!$P$1</f>
        <v>1417</v>
      </c>
      <c r="I52" s="32" t="e">
        <f>'SIIF Ejecución  '!#REF!/'ejecucion OAP'!$P$1</f>
        <v>#REF!</v>
      </c>
      <c r="J52" s="32" t="e">
        <f>'SIIF Ejecución  '!#REF!</f>
        <v>#REF!</v>
      </c>
      <c r="K52" s="32" t="e">
        <f t="shared" si="9"/>
        <v>#REF!</v>
      </c>
      <c r="L52" s="32" t="e">
        <f>'SIIF Ejecución  '!#REF!</f>
        <v>#REF!</v>
      </c>
      <c r="M52" s="31">
        <v>0</v>
      </c>
      <c r="N52" s="32">
        <f>'SIIF Ejecución  '!D55/'ejecucion OAP'!$P$1</f>
        <v>1382.3594399999999</v>
      </c>
      <c r="O52" s="31">
        <v>0</v>
      </c>
      <c r="P52" s="46">
        <f t="shared" si="10"/>
        <v>0.97555359209597736</v>
      </c>
      <c r="Q52" s="32">
        <f>'SIIF Ejecución  '!E55/'ejecucion OAP'!$P$1</f>
        <v>142.88013000000001</v>
      </c>
      <c r="R52" s="31">
        <v>0</v>
      </c>
      <c r="S52" s="31">
        <v>0</v>
      </c>
      <c r="T52" s="31">
        <v>0</v>
      </c>
      <c r="U52" s="46">
        <f t="shared" si="6"/>
        <v>0.10083283697953423</v>
      </c>
      <c r="V52" s="32" t="e">
        <f>'SIIF Ejecución  '!#REF!/'ejecucion OAP'!$P$1</f>
        <v>#REF!</v>
      </c>
      <c r="W52" s="32" t="e">
        <f>'SIIF Ejecución  '!#REF!/'ejecucion OAP'!$P$1</f>
        <v>#REF!</v>
      </c>
      <c r="X52" s="69">
        <f t="shared" si="7"/>
        <v>34.64056000000005</v>
      </c>
      <c r="Y52" s="69">
        <f t="shared" si="8"/>
        <v>1274.11987</v>
      </c>
    </row>
    <row r="53" spans="1:28" ht="56.25" x14ac:dyDescent="0.2">
      <c r="A53" s="24" t="s">
        <v>104</v>
      </c>
      <c r="B53" s="24" t="s">
        <v>80</v>
      </c>
      <c r="C53" s="24" t="s">
        <v>137</v>
      </c>
      <c r="D53" s="30" t="s">
        <v>138</v>
      </c>
      <c r="E53" s="32" t="e">
        <f>+'SIIF Ejecución  '!#REF!/$P$1</f>
        <v>#REF!</v>
      </c>
      <c r="F53" s="32" t="e">
        <f>+'SIIF Ejecución  '!#REF!/$P$1</f>
        <v>#REF!</v>
      </c>
      <c r="G53" s="32" t="e">
        <f>+'SIIF Ejecución  '!#REF!/$P$1</f>
        <v>#REF!</v>
      </c>
      <c r="H53" s="31">
        <f>'SIIF Ejecución  '!C56/'ejecucion OAP'!$P$1</f>
        <v>300</v>
      </c>
      <c r="I53" s="32" t="e">
        <f>'SIIF Ejecución  '!#REF!/'ejecucion OAP'!$P$1</f>
        <v>#REF!</v>
      </c>
      <c r="J53" s="32" t="e">
        <f>'SIIF Ejecución  '!#REF!</f>
        <v>#REF!</v>
      </c>
      <c r="K53" s="32" t="e">
        <f t="shared" si="9"/>
        <v>#REF!</v>
      </c>
      <c r="L53" s="32" t="e">
        <f>'SIIF Ejecución  '!#REF!</f>
        <v>#REF!</v>
      </c>
      <c r="M53" s="31">
        <v>0</v>
      </c>
      <c r="N53" s="32">
        <f>'SIIF Ejecución  '!D56/'ejecucion OAP'!$P$1</f>
        <v>0</v>
      </c>
      <c r="O53" s="31">
        <v>0</v>
      </c>
      <c r="P53" s="46">
        <f t="shared" si="10"/>
        <v>0</v>
      </c>
      <c r="Q53" s="32">
        <f>'SIIF Ejecución  '!E56/'ejecucion OAP'!$P$1</f>
        <v>0</v>
      </c>
      <c r="R53" s="31">
        <v>0</v>
      </c>
      <c r="S53" s="31">
        <v>0</v>
      </c>
      <c r="T53" s="31">
        <v>0</v>
      </c>
      <c r="U53" s="46">
        <f t="shared" si="6"/>
        <v>0</v>
      </c>
      <c r="V53" s="32" t="e">
        <f>'SIIF Ejecución  '!#REF!/'ejecucion OAP'!$P$1</f>
        <v>#REF!</v>
      </c>
      <c r="W53" s="32" t="e">
        <f>'SIIF Ejecución  '!#REF!/'ejecucion OAP'!$P$1</f>
        <v>#REF!</v>
      </c>
      <c r="X53" s="69">
        <f t="shared" si="7"/>
        <v>300</v>
      </c>
      <c r="Y53" s="69">
        <f t="shared" si="8"/>
        <v>300</v>
      </c>
    </row>
    <row r="54" spans="1:28" ht="45" x14ac:dyDescent="0.2">
      <c r="A54" s="24" t="s">
        <v>104</v>
      </c>
      <c r="B54" s="24" t="s">
        <v>80</v>
      </c>
      <c r="C54" s="24" t="s">
        <v>140</v>
      </c>
      <c r="D54" s="30" t="s">
        <v>141</v>
      </c>
      <c r="E54" s="32" t="e">
        <f>+'SIIF Ejecución  '!#REF!/$P$1</f>
        <v>#REF!</v>
      </c>
      <c r="F54" s="32" t="e">
        <f>+'SIIF Ejecución  '!#REF!/$P$1</f>
        <v>#REF!</v>
      </c>
      <c r="G54" s="32" t="e">
        <f>+'SIIF Ejecución  '!#REF!/$P$1</f>
        <v>#REF!</v>
      </c>
      <c r="H54" s="31">
        <f>'SIIF Ejecución  '!C57/'ejecucion OAP'!$P$1</f>
        <v>9556.0819420000007</v>
      </c>
      <c r="I54" s="32" t="e">
        <f>'SIIF Ejecución  '!#REF!/'ejecucion OAP'!$P$1</f>
        <v>#REF!</v>
      </c>
      <c r="J54" s="32" t="e">
        <f>'SIIF Ejecución  '!#REF!</f>
        <v>#REF!</v>
      </c>
      <c r="K54" s="32" t="e">
        <f t="shared" si="9"/>
        <v>#REF!</v>
      </c>
      <c r="L54" s="32" t="e">
        <f>'SIIF Ejecución  '!#REF!</f>
        <v>#REF!</v>
      </c>
      <c r="M54" s="31">
        <v>0</v>
      </c>
      <c r="N54" s="32">
        <f>'SIIF Ejecución  '!D57/'ejecucion OAP'!$P$1</f>
        <v>9556.0819420000007</v>
      </c>
      <c r="O54" s="31">
        <v>0</v>
      </c>
      <c r="P54" s="46">
        <f t="shared" si="10"/>
        <v>1</v>
      </c>
      <c r="Q54" s="32">
        <f>'SIIF Ejecución  '!E57/'ejecucion OAP'!$P$1</f>
        <v>1913.2064359999999</v>
      </c>
      <c r="R54" s="31">
        <v>0</v>
      </c>
      <c r="S54" s="31">
        <v>0</v>
      </c>
      <c r="T54" s="31">
        <v>0</v>
      </c>
      <c r="U54" s="46">
        <f t="shared" si="6"/>
        <v>0.20020824932352801</v>
      </c>
      <c r="V54" s="32" t="e">
        <f>'SIIF Ejecución  '!#REF!/'ejecucion OAP'!$P$1</f>
        <v>#REF!</v>
      </c>
      <c r="W54" s="32" t="e">
        <f>'SIIF Ejecución  '!#REF!/'ejecucion OAP'!$P$1</f>
        <v>#REF!</v>
      </c>
      <c r="X54" s="69">
        <f t="shared" si="7"/>
        <v>0</v>
      </c>
      <c r="Y54" s="69">
        <f t="shared" si="8"/>
        <v>7642.8755060000003</v>
      </c>
    </row>
    <row r="55" spans="1:28" ht="45" x14ac:dyDescent="0.2">
      <c r="A55" s="61" t="s">
        <v>104</v>
      </c>
      <c r="B55" s="61" t="s">
        <v>80</v>
      </c>
      <c r="C55" s="61" t="s">
        <v>140</v>
      </c>
      <c r="D55" s="30" t="s">
        <v>141</v>
      </c>
      <c r="E55" s="32" t="e">
        <f>+'SIIF Ejecución  '!#REF!/$P$1</f>
        <v>#REF!</v>
      </c>
      <c r="F55" s="32" t="e">
        <f>+'SIIF Ejecución  '!#REF!/$P$1</f>
        <v>#REF!</v>
      </c>
      <c r="G55" s="32" t="e">
        <f>+'SIIF Ejecución  '!#REF!/$P$1</f>
        <v>#REF!</v>
      </c>
      <c r="H55" s="32">
        <f>'SIIF Ejecución  '!C58/'ejecucion OAP'!$P$1</f>
        <v>6918.8040000000001</v>
      </c>
      <c r="I55" s="32" t="e">
        <f>'SIIF Ejecución  '!#REF!/'ejecucion OAP'!$P$1</f>
        <v>#REF!</v>
      </c>
      <c r="J55" s="32"/>
      <c r="K55" s="32"/>
      <c r="L55" s="32"/>
      <c r="M55" s="32"/>
      <c r="N55" s="32">
        <f>'SIIF Ejecución  '!D58/'ejecucion OAP'!$P$1</f>
        <v>0</v>
      </c>
      <c r="O55" s="32"/>
      <c r="P55" s="46">
        <f t="shared" si="10"/>
        <v>0</v>
      </c>
      <c r="Q55" s="32">
        <f>'SIIF Ejecución  '!E58/'ejecucion OAP'!$P$1</f>
        <v>0</v>
      </c>
      <c r="R55" s="32"/>
      <c r="S55" s="32"/>
      <c r="T55" s="32"/>
      <c r="U55" s="46">
        <f t="shared" si="6"/>
        <v>0</v>
      </c>
      <c r="V55" s="32" t="e">
        <f>'SIIF Ejecución  '!#REF!/'ejecucion OAP'!$P$1</f>
        <v>#REF!</v>
      </c>
      <c r="W55" s="32" t="e">
        <f>'SIIF Ejecución  '!#REF!/'ejecucion OAP'!$P$1</f>
        <v>#REF!</v>
      </c>
      <c r="X55" s="69"/>
      <c r="Y55" s="69"/>
    </row>
    <row r="56" spans="1:28" ht="45" x14ac:dyDescent="0.2">
      <c r="A56" s="61" t="s">
        <v>104</v>
      </c>
      <c r="B56" s="61" t="s">
        <v>80</v>
      </c>
      <c r="C56" s="61" t="s">
        <v>140</v>
      </c>
      <c r="D56" s="30" t="s">
        <v>141</v>
      </c>
      <c r="E56" s="32" t="e">
        <f>+'SIIF Ejecución  '!#REF!/$P$1</f>
        <v>#REF!</v>
      </c>
      <c r="F56" s="32" t="e">
        <f>+'SIIF Ejecución  '!#REF!/$P$1</f>
        <v>#REF!</v>
      </c>
      <c r="G56" s="32" t="e">
        <f>+'SIIF Ejecución  '!#REF!/$P$1</f>
        <v>#REF!</v>
      </c>
      <c r="H56" s="32">
        <f>'SIIF Ejecución  '!C59/'ejecucion OAP'!$P$1</f>
        <v>1972.126</v>
      </c>
      <c r="I56" s="32" t="e">
        <f>'SIIF Ejecución  '!#REF!/'ejecucion OAP'!$P$1</f>
        <v>#REF!</v>
      </c>
      <c r="J56" s="32"/>
      <c r="K56" s="32"/>
      <c r="L56" s="32"/>
      <c r="M56" s="32"/>
      <c r="N56" s="32">
        <f>'SIIF Ejecución  '!D59/'ejecucion OAP'!$P$1</f>
        <v>0</v>
      </c>
      <c r="O56" s="32"/>
      <c r="P56" s="46">
        <f t="shared" si="10"/>
        <v>0</v>
      </c>
      <c r="Q56" s="32">
        <f>'SIIF Ejecución  '!E59/'ejecucion OAP'!$P$1</f>
        <v>0</v>
      </c>
      <c r="R56" s="32"/>
      <c r="S56" s="32"/>
      <c r="T56" s="32"/>
      <c r="U56" s="46">
        <f t="shared" si="6"/>
        <v>0</v>
      </c>
      <c r="V56" s="32" t="e">
        <f>'SIIF Ejecución  '!#REF!/'ejecucion OAP'!$P$1</f>
        <v>#REF!</v>
      </c>
      <c r="W56" s="32" t="e">
        <f>'SIIF Ejecución  '!#REF!/'ejecucion OAP'!$P$1</f>
        <v>#REF!</v>
      </c>
      <c r="X56" s="69"/>
      <c r="Y56" s="69"/>
    </row>
    <row r="57" spans="1:28" ht="33.75" x14ac:dyDescent="0.2">
      <c r="A57" s="24" t="s">
        <v>104</v>
      </c>
      <c r="B57" s="24" t="s">
        <v>80</v>
      </c>
      <c r="C57" s="24" t="s">
        <v>143</v>
      </c>
      <c r="D57" s="30" t="s">
        <v>144</v>
      </c>
      <c r="E57" s="32" t="e">
        <f>+'SIIF Ejecución  '!#REF!/$P$1</f>
        <v>#REF!</v>
      </c>
      <c r="F57" s="32" t="e">
        <f>+'SIIF Ejecución  '!#REF!/$P$1</f>
        <v>#REF!</v>
      </c>
      <c r="G57" s="32" t="e">
        <f>+'SIIF Ejecución  '!#REF!/$P$1</f>
        <v>#REF!</v>
      </c>
      <c r="H57" s="31">
        <f>'SIIF Ejecución  '!C60/'ejecucion OAP'!$P$1</f>
        <v>4457</v>
      </c>
      <c r="I57" s="32" t="e">
        <f>'SIIF Ejecución  '!#REF!/'ejecucion OAP'!$P$1</f>
        <v>#REF!</v>
      </c>
      <c r="J57" s="32" t="e">
        <f>'SIIF Ejecución  '!#REF!</f>
        <v>#REF!</v>
      </c>
      <c r="K57" s="32" t="e">
        <f t="shared" si="9"/>
        <v>#REF!</v>
      </c>
      <c r="L57" s="32" t="e">
        <f>'SIIF Ejecución  '!#REF!</f>
        <v>#REF!</v>
      </c>
      <c r="M57" s="31">
        <v>749804020</v>
      </c>
      <c r="N57" s="32">
        <f>'SIIF Ejecución  '!D60/'ejecucion OAP'!$P$1</f>
        <v>3992.2350074800001</v>
      </c>
      <c r="O57" s="31">
        <v>0</v>
      </c>
      <c r="P57" s="46">
        <f t="shared" si="10"/>
        <v>0.89572246073143369</v>
      </c>
      <c r="Q57" s="32">
        <f>'SIIF Ejecución  '!E60/'ejecucion OAP'!$P$1</f>
        <v>2270.1676424799998</v>
      </c>
      <c r="R57" s="31">
        <v>0</v>
      </c>
      <c r="S57" s="31">
        <v>0</v>
      </c>
      <c r="T57" s="31">
        <v>0</v>
      </c>
      <c r="U57" s="46">
        <f t="shared" si="6"/>
        <v>0.5093488091720888</v>
      </c>
      <c r="V57" s="32" t="e">
        <f>'SIIF Ejecución  '!#REF!/'ejecucion OAP'!$P$1</f>
        <v>#REF!</v>
      </c>
      <c r="W57" s="32" t="e">
        <f>'SIIF Ejecución  '!#REF!/'ejecucion OAP'!$P$1</f>
        <v>#REF!</v>
      </c>
      <c r="X57" s="69">
        <f t="shared" si="7"/>
        <v>464.76499251999985</v>
      </c>
      <c r="Y57" s="69">
        <f t="shared" si="8"/>
        <v>2186.8323575200002</v>
      </c>
    </row>
    <row r="58" spans="1:28" ht="22.5" x14ac:dyDescent="0.2">
      <c r="A58" s="24" t="s">
        <v>104</v>
      </c>
      <c r="B58" s="24" t="s">
        <v>80</v>
      </c>
      <c r="C58" s="24" t="s">
        <v>146</v>
      </c>
      <c r="D58" s="30" t="s">
        <v>147</v>
      </c>
      <c r="E58" s="32" t="e">
        <f>+'SIIF Ejecución  '!#REF!/$P$1</f>
        <v>#REF!</v>
      </c>
      <c r="F58" s="32" t="e">
        <f>+'SIIF Ejecución  '!#REF!/$P$1</f>
        <v>#REF!</v>
      </c>
      <c r="G58" s="32" t="e">
        <f>+'SIIF Ejecución  '!#REF!/$P$1</f>
        <v>#REF!</v>
      </c>
      <c r="H58" s="31">
        <f>'SIIF Ejecución  '!C61/'ejecucion OAP'!$P$1</f>
        <v>5445</v>
      </c>
      <c r="I58" s="32" t="e">
        <f>'SIIF Ejecución  '!#REF!/'ejecucion OAP'!$P$1</f>
        <v>#REF!</v>
      </c>
      <c r="J58" s="32" t="e">
        <f>'SIIF Ejecución  '!#REF!</f>
        <v>#REF!</v>
      </c>
      <c r="K58" s="32" t="e">
        <f t="shared" si="9"/>
        <v>#REF!</v>
      </c>
      <c r="L58" s="32" t="e">
        <f>'SIIF Ejecución  '!#REF!</f>
        <v>#REF!</v>
      </c>
      <c r="M58" s="31">
        <v>2758198005</v>
      </c>
      <c r="N58" s="32">
        <f>'SIIF Ejecución  '!D61/'ejecucion OAP'!$P$1</f>
        <v>4901.4881800000003</v>
      </c>
      <c r="O58" s="31">
        <v>201698618</v>
      </c>
      <c r="P58" s="46">
        <f t="shared" si="10"/>
        <v>0.90018148393021125</v>
      </c>
      <c r="Q58" s="32">
        <f>'SIIF Ejecución  '!E61/'ejecucion OAP'!$P$1</f>
        <v>3145.2494219999999</v>
      </c>
      <c r="R58" s="31">
        <v>0</v>
      </c>
      <c r="S58" s="31">
        <v>0</v>
      </c>
      <c r="T58" s="31">
        <v>0</v>
      </c>
      <c r="U58" s="46">
        <f t="shared" si="6"/>
        <v>0.57763993057851237</v>
      </c>
      <c r="V58" s="32" t="e">
        <f>'SIIF Ejecución  '!#REF!/'ejecucion OAP'!$P$1</f>
        <v>#REF!</v>
      </c>
      <c r="W58" s="32" t="e">
        <f>'SIIF Ejecución  '!#REF!/'ejecucion OAP'!$P$1</f>
        <v>#REF!</v>
      </c>
      <c r="X58" s="69">
        <f t="shared" si="7"/>
        <v>543.51181999999972</v>
      </c>
      <c r="Y58" s="69">
        <f t="shared" si="8"/>
        <v>2299.7505780000001</v>
      </c>
    </row>
    <row r="59" spans="1:28" ht="59.25" customHeight="1" x14ac:dyDescent="0.2">
      <c r="A59" s="24" t="s">
        <v>104</v>
      </c>
      <c r="B59" s="24" t="s">
        <v>80</v>
      </c>
      <c r="C59" s="24" t="s">
        <v>149</v>
      </c>
      <c r="D59" s="30" t="s">
        <v>150</v>
      </c>
      <c r="E59" s="32" t="e">
        <f>+'SIIF Ejecución  '!#REF!/$P$1</f>
        <v>#REF!</v>
      </c>
      <c r="F59" s="32" t="e">
        <f>+'SIIF Ejecución  '!#REF!/$P$1</f>
        <v>#REF!</v>
      </c>
      <c r="G59" s="32" t="e">
        <f>+'SIIF Ejecución  '!#REF!/$P$1</f>
        <v>#REF!</v>
      </c>
      <c r="H59" s="31">
        <f>'SIIF Ejecución  '!C62/'ejecucion OAP'!$P$1</f>
        <v>3258</v>
      </c>
      <c r="I59" s="32" t="e">
        <f>'SIIF Ejecución  '!#REF!/'ejecucion OAP'!$P$1</f>
        <v>#REF!</v>
      </c>
      <c r="J59" s="32" t="e">
        <f>'SIIF Ejecución  '!#REF!</f>
        <v>#REF!</v>
      </c>
      <c r="K59" s="32" t="e">
        <f t="shared" si="9"/>
        <v>#REF!</v>
      </c>
      <c r="L59" s="32" t="e">
        <f>'SIIF Ejecución  '!#REF!</f>
        <v>#REF!</v>
      </c>
      <c r="M59" s="31">
        <v>31879800725</v>
      </c>
      <c r="N59" s="32">
        <f>'SIIF Ejecución  '!D62/'ejecucion OAP'!$P$1</f>
        <v>3066.8452022199999</v>
      </c>
      <c r="O59" s="31">
        <v>0</v>
      </c>
      <c r="P59" s="46">
        <f t="shared" si="10"/>
        <v>0.94132756360343772</v>
      </c>
      <c r="Q59" s="32">
        <f>'SIIF Ejecución  '!E62/'ejecucion OAP'!$P$1</f>
        <v>1683.3482039999999</v>
      </c>
      <c r="R59" s="31">
        <v>0</v>
      </c>
      <c r="S59" s="31">
        <v>0</v>
      </c>
      <c r="T59" s="31">
        <v>0</v>
      </c>
      <c r="U59" s="46">
        <f t="shared" si="6"/>
        <v>0.51668146224677713</v>
      </c>
      <c r="V59" s="32" t="e">
        <f>'SIIF Ejecución  '!#REF!/'ejecucion OAP'!$P$1</f>
        <v>#REF!</v>
      </c>
      <c r="W59" s="32" t="e">
        <f>'SIIF Ejecución  '!#REF!/'ejecucion OAP'!$P$1</f>
        <v>#REF!</v>
      </c>
      <c r="X59" s="69">
        <f t="shared" si="7"/>
        <v>191.15479778000008</v>
      </c>
      <c r="Y59" s="69">
        <f t="shared" si="8"/>
        <v>1574.6517960000001</v>
      </c>
    </row>
    <row r="60" spans="1:28" ht="67.5" x14ac:dyDescent="0.2">
      <c r="A60" s="24" t="s">
        <v>104</v>
      </c>
      <c r="B60" s="24" t="s">
        <v>80</v>
      </c>
      <c r="C60" s="24" t="s">
        <v>152</v>
      </c>
      <c r="D60" s="30" t="s">
        <v>153</v>
      </c>
      <c r="E60" s="32" t="e">
        <f>+'SIIF Ejecución  '!#REF!/$P$1</f>
        <v>#REF!</v>
      </c>
      <c r="F60" s="32" t="e">
        <f>+'SIIF Ejecución  '!#REF!/$P$1</f>
        <v>#REF!</v>
      </c>
      <c r="G60" s="32" t="e">
        <f>+'SIIF Ejecución  '!#REF!/$P$1</f>
        <v>#REF!</v>
      </c>
      <c r="H60" s="32">
        <f>'SIIF Ejecución  '!C63/'ejecucion OAP'!$P$1</f>
        <v>36346</v>
      </c>
      <c r="I60" s="32" t="e">
        <f>'SIIF Ejecución  '!#REF!/'ejecucion OAP'!$P$1</f>
        <v>#REF!</v>
      </c>
      <c r="J60" s="32" t="e">
        <f>'SIIF Ejecución  '!#REF!</f>
        <v>#REF!</v>
      </c>
      <c r="K60" s="32" t="e">
        <f t="shared" si="9"/>
        <v>#REF!</v>
      </c>
      <c r="L60" s="32" t="e">
        <f>'SIIF Ejecución  '!#REF!</f>
        <v>#REF!</v>
      </c>
      <c r="M60" s="31">
        <v>0</v>
      </c>
      <c r="N60" s="32">
        <f>'SIIF Ejecución  '!D63/'ejecucion OAP'!$P$1</f>
        <v>35291.299436000001</v>
      </c>
      <c r="O60" s="31">
        <v>0</v>
      </c>
      <c r="P60" s="46">
        <f t="shared" si="10"/>
        <v>0.97098166059538882</v>
      </c>
      <c r="Q60" s="32">
        <f>'SIIF Ejecución  '!E63/'ejecucion OAP'!$P$1</f>
        <v>21091.703141999998</v>
      </c>
      <c r="R60" s="31">
        <v>0</v>
      </c>
      <c r="S60" s="31">
        <v>0</v>
      </c>
      <c r="T60" s="31">
        <v>0</v>
      </c>
      <c r="U60" s="46">
        <f t="shared" si="6"/>
        <v>0.58030328349749627</v>
      </c>
      <c r="V60" s="32" t="e">
        <f>'SIIF Ejecución  '!#REF!/'ejecucion OAP'!$P$1</f>
        <v>#REF!</v>
      </c>
      <c r="W60" s="32" t="e">
        <f>'SIIF Ejecución  '!#REF!/'ejecucion OAP'!$P$1</f>
        <v>#REF!</v>
      </c>
      <c r="X60" s="69">
        <f t="shared" si="7"/>
        <v>1054.7005639999988</v>
      </c>
      <c r="Y60" s="69">
        <f t="shared" si="8"/>
        <v>15254.296858000002</v>
      </c>
    </row>
    <row r="61" spans="1:28" ht="22.5" x14ac:dyDescent="0.2">
      <c r="A61" s="24" t="s">
        <v>155</v>
      </c>
      <c r="B61" s="24" t="s">
        <v>80</v>
      </c>
      <c r="C61" s="24" t="s">
        <v>34</v>
      </c>
      <c r="D61" s="30" t="s">
        <v>156</v>
      </c>
      <c r="E61" s="32" t="e">
        <f>+'SIIF Ejecución  '!#REF!/$P$1</f>
        <v>#REF!</v>
      </c>
      <c r="F61" s="32" t="e">
        <f>+'SIIF Ejecución  '!#REF!/$P$1</f>
        <v>#REF!</v>
      </c>
      <c r="G61" s="32" t="e">
        <f>+'SIIF Ejecución  '!#REF!/$P$1</f>
        <v>#REF!</v>
      </c>
      <c r="H61" s="32">
        <f>'SIIF Ejecución  '!C64/'ejecucion OAP'!$P$1</f>
        <v>2500</v>
      </c>
      <c r="I61" s="32" t="e">
        <f>'SIIF Ejecución  '!#REF!/'ejecucion OAP'!$P$1</f>
        <v>#REF!</v>
      </c>
      <c r="J61" s="32" t="e">
        <f>'SIIF Ejecución  '!#REF!</f>
        <v>#REF!</v>
      </c>
      <c r="K61" s="32" t="e">
        <f t="shared" si="9"/>
        <v>#REF!</v>
      </c>
      <c r="L61" s="32" t="e">
        <f>'SIIF Ejecución  '!#REF!</f>
        <v>#REF!</v>
      </c>
      <c r="M61" s="31">
        <v>477660664</v>
      </c>
      <c r="N61" s="32">
        <f>'SIIF Ejecución  '!D64/'ejecucion OAP'!$P$1</f>
        <v>2398.5778213200001</v>
      </c>
      <c r="O61" s="31">
        <v>44471850</v>
      </c>
      <c r="P61" s="46">
        <f t="shared" si="10"/>
        <v>0.95943112852800005</v>
      </c>
      <c r="Q61" s="32">
        <f>'SIIF Ejecución  '!E64/'ejecucion OAP'!$P$1</f>
        <v>1031.51475332</v>
      </c>
      <c r="R61" s="31">
        <v>44471850</v>
      </c>
      <c r="S61" s="31">
        <v>44.471850000000003</v>
      </c>
      <c r="T61" s="31">
        <v>44471850</v>
      </c>
      <c r="U61" s="46">
        <f t="shared" si="6"/>
        <v>0.41260590132799996</v>
      </c>
      <c r="V61" s="32" t="e">
        <f>'SIIF Ejecución  '!#REF!/'ejecucion OAP'!$P$1</f>
        <v>#REF!</v>
      </c>
      <c r="W61" s="32" t="e">
        <f>'SIIF Ejecución  '!#REF!/'ejecucion OAP'!$P$1</f>
        <v>#REF!</v>
      </c>
      <c r="X61" s="69">
        <f t="shared" si="7"/>
        <v>101.42217867999989</v>
      </c>
      <c r="Y61" s="69">
        <f t="shared" si="8"/>
        <v>1468.48524668</v>
      </c>
    </row>
    <row r="62" spans="1:28" ht="33.75" x14ac:dyDescent="0.2">
      <c r="A62" s="24" t="s">
        <v>158</v>
      </c>
      <c r="B62" s="24" t="s">
        <v>80</v>
      </c>
      <c r="C62" s="24" t="s">
        <v>34</v>
      </c>
      <c r="D62" s="30" t="s">
        <v>159</v>
      </c>
      <c r="E62" s="32" t="e">
        <f>+'SIIF Ejecución  '!#REF!/$P$1</f>
        <v>#REF!</v>
      </c>
      <c r="F62" s="32" t="e">
        <f>+'SIIF Ejecución  '!#REF!/$P$1</f>
        <v>#REF!</v>
      </c>
      <c r="G62" s="32" t="e">
        <f>+'SIIF Ejecución  '!#REF!/$P$1</f>
        <v>#REF!</v>
      </c>
      <c r="H62" s="32">
        <f>'SIIF Ejecución  '!C65/'ejecucion OAP'!$P$1</f>
        <v>2410.411912</v>
      </c>
      <c r="I62" s="32" t="e">
        <f>'SIIF Ejecución  '!#REF!/'ejecucion OAP'!$P$1</f>
        <v>#REF!</v>
      </c>
      <c r="J62" s="32" t="e">
        <f>'SIIF Ejecución  '!#REF!</f>
        <v>#REF!</v>
      </c>
      <c r="K62" s="32" t="e">
        <f t="shared" si="9"/>
        <v>#REF!</v>
      </c>
      <c r="L62" s="32" t="e">
        <f>'SIIF Ejecución  '!#REF!</f>
        <v>#REF!</v>
      </c>
      <c r="M62" s="31">
        <v>1679286604</v>
      </c>
      <c r="N62" s="32">
        <f>'SIIF Ejecución  '!D65/'ejecucion OAP'!$P$1</f>
        <v>2407.673499</v>
      </c>
      <c r="O62" s="31">
        <v>124500000</v>
      </c>
      <c r="P62" s="46">
        <f t="shared" si="10"/>
        <v>0.9988639232214348</v>
      </c>
      <c r="Q62" s="32">
        <f>'SIIF Ejecución  '!E65/'ejecucion OAP'!$P$1</f>
        <v>742.60537799999997</v>
      </c>
      <c r="R62" s="31">
        <v>124500000</v>
      </c>
      <c r="S62" s="31">
        <v>124.5</v>
      </c>
      <c r="T62" s="31">
        <v>124500000</v>
      </c>
      <c r="U62" s="46">
        <f t="shared" si="6"/>
        <v>0.30808235484690882</v>
      </c>
      <c r="V62" s="32" t="e">
        <f>'SIIF Ejecución  '!#REF!/'ejecucion OAP'!$P$1</f>
        <v>#REF!</v>
      </c>
      <c r="W62" s="32" t="e">
        <f>'SIIF Ejecución  '!#REF!/'ejecucion OAP'!$P$1</f>
        <v>#REF!</v>
      </c>
      <c r="X62" s="69">
        <f t="shared" si="7"/>
        <v>2.7384130000000368</v>
      </c>
      <c r="Y62" s="69">
        <f t="shared" si="8"/>
        <v>1667.8065340000001</v>
      </c>
      <c r="AB62" s="58"/>
    </row>
    <row r="63" spans="1:28" ht="22.5" x14ac:dyDescent="0.2">
      <c r="A63" s="24" t="s">
        <v>161</v>
      </c>
      <c r="B63" s="24" t="s">
        <v>80</v>
      </c>
      <c r="C63" s="24" t="s">
        <v>53</v>
      </c>
      <c r="D63" s="30" t="s">
        <v>162</v>
      </c>
      <c r="E63" s="32" t="e">
        <f>+'SIIF Ejecución  '!#REF!/$P$1</f>
        <v>#REF!</v>
      </c>
      <c r="F63" s="32" t="e">
        <f>+'SIIF Ejecución  '!#REF!/$P$1</f>
        <v>#REF!</v>
      </c>
      <c r="G63" s="32" t="e">
        <f>+'SIIF Ejecución  '!#REF!/$P$1</f>
        <v>#REF!</v>
      </c>
      <c r="H63" s="32">
        <f>'SIIF Ejecución  '!C66/'ejecucion OAP'!$P$1</f>
        <v>4000</v>
      </c>
      <c r="I63" s="32" t="e">
        <f>'SIIF Ejecución  '!#REF!/'ejecucion OAP'!$P$1</f>
        <v>#REF!</v>
      </c>
      <c r="J63" s="32" t="e">
        <f>'SIIF Ejecución  '!#REF!</f>
        <v>#REF!</v>
      </c>
      <c r="K63" s="32" t="e">
        <f t="shared" si="9"/>
        <v>#REF!</v>
      </c>
      <c r="L63" s="32" t="e">
        <f>'SIIF Ejecución  '!#REF!</f>
        <v>#REF!</v>
      </c>
      <c r="M63" s="31">
        <v>7647837266</v>
      </c>
      <c r="N63" s="32">
        <f>'SIIF Ejecución  '!D66/'ejecucion OAP'!$P$1</f>
        <v>3765.8366019999999</v>
      </c>
      <c r="O63" s="31">
        <v>0</v>
      </c>
      <c r="P63" s="46">
        <f t="shared" si="10"/>
        <v>0.94145915049999995</v>
      </c>
      <c r="Q63" s="32">
        <f>'SIIF Ejecución  '!E66/'ejecucion OAP'!$P$1</f>
        <v>2674.9586871199999</v>
      </c>
      <c r="R63" s="31">
        <v>0</v>
      </c>
      <c r="S63" s="31">
        <v>0</v>
      </c>
      <c r="T63" s="31">
        <v>0</v>
      </c>
      <c r="U63" s="46">
        <f t="shared" si="6"/>
        <v>0.66873967177999993</v>
      </c>
      <c r="V63" s="32" t="e">
        <f>'SIIF Ejecución  '!#REF!/'ejecucion OAP'!$P$1</f>
        <v>#REF!</v>
      </c>
      <c r="W63" s="32" t="e">
        <f>'SIIF Ejecución  '!#REF!/'ejecucion OAP'!$P$1</f>
        <v>#REF!</v>
      </c>
      <c r="X63" s="69">
        <f t="shared" si="7"/>
        <v>234.16339800000014</v>
      </c>
      <c r="Y63" s="69">
        <f t="shared" si="8"/>
        <v>1325.0413128800001</v>
      </c>
    </row>
    <row r="64" spans="1:28" ht="22.5" x14ac:dyDescent="0.2">
      <c r="A64" s="24" t="s">
        <v>161</v>
      </c>
      <c r="B64" s="24" t="s">
        <v>80</v>
      </c>
      <c r="C64" s="24" t="s">
        <v>41</v>
      </c>
      <c r="D64" s="30" t="s">
        <v>164</v>
      </c>
      <c r="E64" s="32" t="e">
        <f>+'SIIF Ejecución  '!#REF!/$P$1</f>
        <v>#REF!</v>
      </c>
      <c r="F64" s="32" t="e">
        <f>+'SIIF Ejecución  '!#REF!/$P$1</f>
        <v>#REF!</v>
      </c>
      <c r="G64" s="32" t="e">
        <f>+'SIIF Ejecución  '!#REF!/$P$1</f>
        <v>#REF!</v>
      </c>
      <c r="H64" s="32">
        <f>'SIIF Ejecución  '!C67/'ejecucion OAP'!$P$1</f>
        <v>7500</v>
      </c>
      <c r="I64" s="32" t="e">
        <f>'SIIF Ejecución  '!#REF!/'ejecucion OAP'!$P$1</f>
        <v>#REF!</v>
      </c>
      <c r="J64" s="32" t="e">
        <f>'SIIF Ejecución  '!#REF!</f>
        <v>#REF!</v>
      </c>
      <c r="K64" s="32" t="e">
        <f t="shared" si="9"/>
        <v>#REF!</v>
      </c>
      <c r="L64" s="32" t="e">
        <f>'SIIF Ejecución  '!#REF!</f>
        <v>#REF!</v>
      </c>
      <c r="M64" s="31">
        <v>130000000</v>
      </c>
      <c r="N64" s="32">
        <f>'SIIF Ejecución  '!D67/'ejecucion OAP'!$P$1</f>
        <v>7354.2404999999999</v>
      </c>
      <c r="O64" s="31">
        <v>0</v>
      </c>
      <c r="P64" s="46">
        <f t="shared" si="10"/>
        <v>0.98056540000000003</v>
      </c>
      <c r="Q64" s="32">
        <f>'SIIF Ejecución  '!E67/'ejecucion OAP'!$P$1</f>
        <v>2960.5254580000001</v>
      </c>
      <c r="R64" s="31">
        <v>0</v>
      </c>
      <c r="S64" s="31">
        <v>0</v>
      </c>
      <c r="T64" s="31">
        <v>0</v>
      </c>
      <c r="U64" s="46">
        <f t="shared" si="6"/>
        <v>0.39473672773333335</v>
      </c>
      <c r="V64" s="32" t="e">
        <f>'SIIF Ejecución  '!#REF!/'ejecucion OAP'!$P$1</f>
        <v>#REF!</v>
      </c>
      <c r="W64" s="32" t="e">
        <f>'SIIF Ejecución  '!#REF!/'ejecucion OAP'!$P$1</f>
        <v>#REF!</v>
      </c>
      <c r="X64" s="69">
        <f t="shared" si="7"/>
        <v>145.75950000000012</v>
      </c>
      <c r="Y64" s="69">
        <f t="shared" si="8"/>
        <v>4539.4745419999999</v>
      </c>
    </row>
    <row r="65" spans="1:25" ht="33.75" x14ac:dyDescent="0.2">
      <c r="A65" s="24" t="s">
        <v>161</v>
      </c>
      <c r="B65" s="24" t="s">
        <v>80</v>
      </c>
      <c r="C65" s="24" t="s">
        <v>166</v>
      </c>
      <c r="D65" s="30" t="s">
        <v>167</v>
      </c>
      <c r="E65" s="32" t="e">
        <f>+'SIIF Ejecución  '!#REF!/$P$1</f>
        <v>#REF!</v>
      </c>
      <c r="F65" s="32" t="e">
        <f>+'SIIF Ejecución  '!#REF!/$P$1</f>
        <v>#REF!</v>
      </c>
      <c r="G65" s="32" t="e">
        <f>+'SIIF Ejecución  '!#REF!/$P$1</f>
        <v>#REF!</v>
      </c>
      <c r="H65" s="32">
        <f>'SIIF Ejecución  '!C68/'ejecucion OAP'!$P$1</f>
        <v>1432</v>
      </c>
      <c r="I65" s="32" t="e">
        <f>'SIIF Ejecución  '!#REF!/'ejecucion OAP'!$P$1</f>
        <v>#REF!</v>
      </c>
      <c r="J65" s="32"/>
      <c r="K65" s="32"/>
      <c r="L65" s="32"/>
      <c r="M65" s="32"/>
      <c r="N65" s="32">
        <f>'SIIF Ejecución  '!D68/'ejecucion OAP'!$P$1</f>
        <v>635.52655100000004</v>
      </c>
      <c r="O65" s="32"/>
      <c r="P65" s="46">
        <f t="shared" si="10"/>
        <v>0.44380345740223465</v>
      </c>
      <c r="Q65" s="32">
        <f>'SIIF Ejecución  '!E68/'ejecucion OAP'!$P$1</f>
        <v>359.21000700000002</v>
      </c>
      <c r="R65" s="32"/>
      <c r="S65" s="32"/>
      <c r="T65" s="32"/>
      <c r="U65" s="46">
        <f t="shared" si="6"/>
        <v>0.25084497695530728</v>
      </c>
      <c r="V65" s="32" t="e">
        <f>'SIIF Ejecución  '!#REF!/'ejecucion OAP'!$P$1</f>
        <v>#REF!</v>
      </c>
      <c r="W65" s="32" t="e">
        <f>'SIIF Ejecución  '!#REF!/'ejecucion OAP'!$P$1</f>
        <v>#REF!</v>
      </c>
      <c r="X65" s="112"/>
      <c r="Y65" s="112"/>
    </row>
    <row r="66" spans="1:25" ht="15" x14ac:dyDescent="0.2">
      <c r="D66" s="188" t="s">
        <v>173</v>
      </c>
      <c r="E66" s="37" t="e">
        <f>SUM(E26:E65)</f>
        <v>#REF!</v>
      </c>
      <c r="F66" s="37" t="e">
        <f>SUM(F26:F65)</f>
        <v>#REF!</v>
      </c>
      <c r="G66" s="37" t="e">
        <f t="shared" ref="G66" si="11">SUM(G26:G65)</f>
        <v>#REF!</v>
      </c>
      <c r="H66" s="37">
        <f>SUM(H26:H65)</f>
        <v>604575.12555699993</v>
      </c>
      <c r="I66" s="37" t="e">
        <f>SUM(I26:I65)</f>
        <v>#REF!</v>
      </c>
      <c r="J66" s="37" t="e">
        <f>SUM(J26:J64)</f>
        <v>#REF!</v>
      </c>
      <c r="K66" s="37" t="e">
        <f>SUM(K26:K64)</f>
        <v>#REF!</v>
      </c>
      <c r="L66" s="37" t="e">
        <f>SUM(L26:L64)</f>
        <v>#REF!</v>
      </c>
      <c r="M66" s="37">
        <f>SUM(M26:M64)</f>
        <v>315187573038</v>
      </c>
      <c r="N66" s="37">
        <f>SUM(N26:N65)</f>
        <v>531958.53375181998</v>
      </c>
      <c r="O66" s="37">
        <f>SUM(O26:O64)</f>
        <v>58060422126</v>
      </c>
      <c r="P66" s="47"/>
      <c r="Q66" s="37">
        <f>SUM(Q26:Q65)</f>
        <v>181733.63630071995</v>
      </c>
      <c r="R66" s="37">
        <f>SUM(R26:R64)</f>
        <v>168971850</v>
      </c>
      <c r="S66" s="37">
        <f>SUM(S26:S64)</f>
        <v>168.97185000000002</v>
      </c>
      <c r="T66" s="37">
        <f>SUM(T26:T64)</f>
        <v>168971850</v>
      </c>
      <c r="U66" s="47"/>
      <c r="V66" s="37" t="e">
        <f>SUM(V26:V65)</f>
        <v>#REF!</v>
      </c>
      <c r="W66" s="37" t="e">
        <f>SUM(W26:W65)</f>
        <v>#REF!</v>
      </c>
      <c r="X66" s="66"/>
      <c r="Y66" s="58"/>
    </row>
    <row r="67" spans="1:25" ht="15" x14ac:dyDescent="0.2">
      <c r="D67" s="189"/>
      <c r="H67" s="50"/>
      <c r="I67" s="50"/>
      <c r="J67" s="50"/>
      <c r="K67" s="50"/>
      <c r="L67" s="50"/>
      <c r="M67" s="50"/>
      <c r="N67" s="100">
        <f>+N66/H66</f>
        <v>0.8798882244149927</v>
      </c>
      <c r="O67" s="50"/>
      <c r="P67" s="51"/>
      <c r="Q67" s="100">
        <f>Q66/H66</f>
        <v>0.30059727669623737</v>
      </c>
      <c r="R67" s="50"/>
      <c r="S67" s="50"/>
      <c r="T67" s="50"/>
      <c r="U67" s="51"/>
      <c r="V67" s="100" t="e">
        <f>+V66/H66</f>
        <v>#REF!</v>
      </c>
      <c r="W67" s="52"/>
    </row>
    <row r="68" spans="1:25" ht="15" x14ac:dyDescent="0.2">
      <c r="D68" s="189" t="s">
        <v>170</v>
      </c>
      <c r="E68" s="37" t="e">
        <f>SUM(E5:E20)</f>
        <v>#REF!</v>
      </c>
      <c r="F68" s="37" t="e">
        <f t="shared" ref="F68:G68" si="12">SUM(F5:F20)</f>
        <v>#REF!</v>
      </c>
      <c r="G68" s="37" t="e">
        <f t="shared" si="12"/>
        <v>#REF!</v>
      </c>
      <c r="H68" s="37">
        <f>SUM(H5:H20)</f>
        <v>332152.63406600006</v>
      </c>
      <c r="I68" s="37" t="e">
        <f>SUM(I5:I20)</f>
        <v>#REF!</v>
      </c>
      <c r="J68" s="37" t="e">
        <f>SUM(J5:J20)</f>
        <v>#REF!</v>
      </c>
      <c r="K68" s="37" t="e">
        <f>SUM(K5:K20)</f>
        <v>#REF!</v>
      </c>
      <c r="L68" s="37" t="e">
        <f>SUM(L5:L20)</f>
        <v>#REF!</v>
      </c>
      <c r="M68" s="37"/>
      <c r="N68" s="37">
        <f>SUM(N5:N20)</f>
        <v>228318.17467699997</v>
      </c>
      <c r="O68" s="37"/>
      <c r="P68" s="47"/>
      <c r="Q68" s="37">
        <f>SUM(Q5:Q20)</f>
        <v>218151.45196799998</v>
      </c>
      <c r="R68" s="37">
        <f>SUM(R5:R20)</f>
        <v>18586613865</v>
      </c>
      <c r="S68" s="37">
        <f>SUM(S5:S20)</f>
        <v>18586.613864999999</v>
      </c>
      <c r="T68" s="37">
        <f>SUM(T5:T20)</f>
        <v>18442002363</v>
      </c>
      <c r="U68" s="47"/>
      <c r="V68" s="37" t="e">
        <f>SUM(V5:V20)</f>
        <v>#REF!</v>
      </c>
      <c r="W68" s="37" t="e">
        <f>SUM(W5:W20)</f>
        <v>#REF!</v>
      </c>
      <c r="X68" s="58"/>
    </row>
    <row r="69" spans="1:25" ht="15" x14ac:dyDescent="0.2">
      <c r="D69" s="189"/>
      <c r="H69" s="53"/>
      <c r="I69" s="53"/>
      <c r="J69" s="53"/>
      <c r="K69" s="53"/>
      <c r="L69" s="53"/>
      <c r="M69" s="53"/>
      <c r="N69" s="100">
        <f>+N68/H68</f>
        <v>0.68738932424552812</v>
      </c>
      <c r="O69" s="53"/>
      <c r="P69" s="54"/>
      <c r="Q69" s="100">
        <f>+Q68/H68</f>
        <v>0.65678073751073252</v>
      </c>
      <c r="R69" s="53"/>
      <c r="S69" s="53"/>
      <c r="T69" s="53"/>
      <c r="U69" s="54"/>
      <c r="V69" s="100" t="e">
        <f>+V68/H68</f>
        <v>#REF!</v>
      </c>
      <c r="W69" s="38"/>
    </row>
    <row r="70" spans="1:25" ht="22.5" customHeight="1" x14ac:dyDescent="0.2">
      <c r="D70" s="99" t="s">
        <v>192</v>
      </c>
      <c r="E70" s="37" t="e">
        <f>+E68+E66</f>
        <v>#REF!</v>
      </c>
      <c r="F70" s="37" t="e">
        <f t="shared" ref="F70:G70" si="13">+F68+F66</f>
        <v>#REF!</v>
      </c>
      <c r="G70" s="37" t="e">
        <f t="shared" si="13"/>
        <v>#REF!</v>
      </c>
      <c r="H70" s="37">
        <f>+H68+H66</f>
        <v>936727.75962299993</v>
      </c>
      <c r="I70" s="37" t="e">
        <f t="shared" ref="I70:V70" si="14">+I68+I66</f>
        <v>#REF!</v>
      </c>
      <c r="J70" s="37" t="e">
        <f t="shared" si="14"/>
        <v>#REF!</v>
      </c>
      <c r="K70" s="37" t="e">
        <f t="shared" si="14"/>
        <v>#REF!</v>
      </c>
      <c r="L70" s="37" t="e">
        <f t="shared" si="14"/>
        <v>#REF!</v>
      </c>
      <c r="M70" s="47"/>
      <c r="N70" s="37">
        <f t="shared" si="14"/>
        <v>760276.7084288199</v>
      </c>
      <c r="O70" s="37"/>
      <c r="P70" s="37"/>
      <c r="Q70" s="37">
        <f t="shared" si="14"/>
        <v>399885.08826871996</v>
      </c>
      <c r="R70" s="47">
        <f t="shared" si="14"/>
        <v>18755585715</v>
      </c>
      <c r="S70" s="37">
        <f t="shared" si="14"/>
        <v>18755.585715000001</v>
      </c>
      <c r="T70" s="37">
        <f t="shared" si="14"/>
        <v>18610974213</v>
      </c>
      <c r="U70" s="37"/>
      <c r="V70" s="37" t="e">
        <f t="shared" si="14"/>
        <v>#REF!</v>
      </c>
      <c r="W70" s="37" t="e">
        <f>+W68+W66</f>
        <v>#REF!</v>
      </c>
      <c r="X70" s="58"/>
    </row>
    <row r="71" spans="1:25" ht="15" x14ac:dyDescent="0.25">
      <c r="D71" s="99"/>
      <c r="H71" s="55"/>
      <c r="I71" s="55"/>
      <c r="J71" s="55"/>
      <c r="K71" s="55"/>
      <c r="L71" s="55"/>
      <c r="M71" s="55"/>
      <c r="N71" s="100">
        <f>+N70/H70</f>
        <v>0.81163038099223683</v>
      </c>
      <c r="O71" s="55"/>
      <c r="P71" s="56"/>
      <c r="Q71" s="100">
        <f>+Q70/H70</f>
        <v>0.42689573802068137</v>
      </c>
      <c r="R71" s="55"/>
      <c r="S71" s="55"/>
      <c r="T71" s="55"/>
      <c r="U71" s="56"/>
      <c r="V71" s="100" t="e">
        <f>+V70/H70</f>
        <v>#REF!</v>
      </c>
      <c r="W71" s="39"/>
    </row>
    <row r="72" spans="1:25" x14ac:dyDescent="0.2"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Q72" s="40"/>
      <c r="R72" s="40"/>
      <c r="S72" s="40"/>
      <c r="T72" s="40"/>
      <c r="V72" s="40"/>
      <c r="W72" s="40"/>
    </row>
    <row r="73" spans="1:25" ht="23.25" hidden="1" customHeight="1" x14ac:dyDescent="0.2">
      <c r="F73" s="40"/>
      <c r="G73" s="40"/>
      <c r="H73" s="40">
        <v>1112113.9099999999</v>
      </c>
      <c r="I73" s="40"/>
      <c r="J73" s="40"/>
      <c r="K73" s="40"/>
      <c r="L73" s="40"/>
      <c r="M73" s="40"/>
      <c r="N73" s="40"/>
      <c r="O73" s="40"/>
      <c r="Q73" s="40"/>
      <c r="R73" s="40"/>
      <c r="S73" s="40"/>
      <c r="T73" s="40"/>
      <c r="V73" s="40"/>
      <c r="W73" s="40"/>
    </row>
    <row r="74" spans="1:25" hidden="1" x14ac:dyDescent="0.2"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Q74" s="40"/>
      <c r="R74" s="40"/>
      <c r="S74" s="40"/>
      <c r="T74" s="40"/>
      <c r="V74" s="40"/>
      <c r="W74" s="40"/>
    </row>
    <row r="75" spans="1:25" hidden="1" x14ac:dyDescent="0.2">
      <c r="D75" s="40"/>
      <c r="E75" s="40"/>
      <c r="F75" s="40"/>
      <c r="G75" s="40"/>
      <c r="H75" s="40">
        <f>H70-H73</f>
        <v>-175386.15037699998</v>
      </c>
      <c r="I75" s="40"/>
      <c r="J75" s="40"/>
      <c r="K75" s="40"/>
      <c r="L75" s="40"/>
      <c r="M75" s="40"/>
      <c r="N75" s="40"/>
      <c r="O75" s="40"/>
      <c r="Q75" s="40"/>
      <c r="R75" s="40"/>
      <c r="S75" s="40"/>
      <c r="T75" s="40"/>
      <c r="V75" s="40"/>
      <c r="W75" s="40"/>
    </row>
    <row r="77" spans="1:25" x14ac:dyDescent="0.2">
      <c r="Q77" s="58"/>
      <c r="U77" s="21"/>
    </row>
    <row r="78" spans="1:25" ht="27" customHeight="1" x14ac:dyDescent="0.2">
      <c r="D78" s="182" t="s">
        <v>270</v>
      </c>
      <c r="E78" s="183"/>
      <c r="P78" s="21"/>
    </row>
    <row r="79" spans="1:25" x14ac:dyDescent="0.2">
      <c r="N79" s="67"/>
    </row>
    <row r="83" spans="4:4" hidden="1" x14ac:dyDescent="0.2">
      <c r="D83" s="29" t="s">
        <v>170</v>
      </c>
    </row>
    <row r="84" spans="4:4" ht="15" hidden="1" x14ac:dyDescent="0.25">
      <c r="D84"/>
    </row>
    <row r="85" spans="4:4" hidden="1" x14ac:dyDescent="0.2">
      <c r="D85" s="29" t="s">
        <v>173</v>
      </c>
    </row>
    <row r="86" spans="4:4" ht="15" hidden="1" x14ac:dyDescent="0.25">
      <c r="D86"/>
    </row>
    <row r="87" spans="4:4" ht="22.5" hidden="1" x14ac:dyDescent="0.2">
      <c r="D87" s="29" t="s">
        <v>198</v>
      </c>
    </row>
  </sheetData>
  <mergeCells count="21">
    <mergeCell ref="AA5:AA12"/>
    <mergeCell ref="AA13:AA14"/>
    <mergeCell ref="AA15:AA18"/>
    <mergeCell ref="AA19:AA20"/>
    <mergeCell ref="Z26:Z28"/>
    <mergeCell ref="AA26:AA28"/>
    <mergeCell ref="Z19:Z20"/>
    <mergeCell ref="X3:Y3"/>
    <mergeCell ref="C13:C14"/>
    <mergeCell ref="Z5:Z12"/>
    <mergeCell ref="Z13:Z14"/>
    <mergeCell ref="Z15:Z18"/>
    <mergeCell ref="D78:E78"/>
    <mergeCell ref="C1:D1"/>
    <mergeCell ref="D3:N3"/>
    <mergeCell ref="D24:N24"/>
    <mergeCell ref="D66:D67"/>
    <mergeCell ref="D68:D69"/>
    <mergeCell ref="C5:C12"/>
    <mergeCell ref="C15:C18"/>
    <mergeCell ref="C19:C20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Q48" sqref="Q48"/>
    </sheetView>
  </sheetViews>
  <sheetFormatPr baseColWidth="10" defaultRowHeight="15" x14ac:dyDescent="0.25"/>
  <cols>
    <col min="1" max="1" width="13.42578125" style="120" customWidth="1"/>
    <col min="2" max="2" width="27" style="120" customWidth="1"/>
    <col min="3" max="3" width="22.42578125" style="120" customWidth="1"/>
    <col min="4" max="11" width="5.42578125" style="120" customWidth="1"/>
    <col min="12" max="12" width="9.5703125" style="120" customWidth="1"/>
    <col min="13" max="13" width="8" style="120" customWidth="1"/>
    <col min="14" max="14" width="9.5703125" style="120" customWidth="1"/>
    <col min="15" max="15" width="27.5703125" style="120" customWidth="1"/>
    <col min="16" max="19" width="18.85546875" style="120" customWidth="1"/>
    <col min="20" max="20" width="8.140625" style="120" customWidth="1"/>
    <col min="21" max="16384" width="11.42578125" style="120"/>
  </cols>
  <sheetData>
    <row r="1" spans="1:19" x14ac:dyDescent="0.25">
      <c r="A1" s="118" t="s">
        <v>0</v>
      </c>
      <c r="B1" s="118">
        <v>2016</v>
      </c>
      <c r="C1" s="119" t="s">
        <v>1</v>
      </c>
      <c r="D1" s="119" t="s">
        <v>1</v>
      </c>
      <c r="E1" s="119" t="s">
        <v>1</v>
      </c>
      <c r="F1" s="119" t="s">
        <v>1</v>
      </c>
      <c r="G1" s="119" t="s">
        <v>1</v>
      </c>
      <c r="H1" s="119" t="s">
        <v>1</v>
      </c>
      <c r="I1" s="119" t="s">
        <v>1</v>
      </c>
      <c r="J1" s="119" t="s">
        <v>1</v>
      </c>
      <c r="K1" s="119" t="s">
        <v>1</v>
      </c>
      <c r="L1" s="119" t="s">
        <v>1</v>
      </c>
      <c r="M1" s="119" t="s">
        <v>1</v>
      </c>
      <c r="N1" s="119" t="s">
        <v>1</v>
      </c>
      <c r="O1" s="119" t="s">
        <v>1</v>
      </c>
      <c r="P1" s="119" t="s">
        <v>1</v>
      </c>
      <c r="Q1" s="119" t="s">
        <v>1</v>
      </c>
      <c r="R1" s="119" t="s">
        <v>1</v>
      </c>
      <c r="S1" s="119" t="s">
        <v>1</v>
      </c>
    </row>
    <row r="2" spans="1:19" ht="25.5" customHeight="1" x14ac:dyDescent="0.25">
      <c r="A2" s="118" t="s">
        <v>2</v>
      </c>
      <c r="B2" s="118" t="s">
        <v>245</v>
      </c>
      <c r="C2" s="182">
        <f>'SIIF Ejecución  '!E2</f>
        <v>0</v>
      </c>
      <c r="D2" s="183" t="s">
        <v>1</v>
      </c>
      <c r="E2" s="119" t="s">
        <v>1</v>
      </c>
      <c r="F2" s="119" t="s">
        <v>1</v>
      </c>
      <c r="G2" s="119" t="s">
        <v>1</v>
      </c>
      <c r="H2" s="119" t="s">
        <v>1</v>
      </c>
      <c r="I2" s="119" t="s">
        <v>1</v>
      </c>
      <c r="J2" s="119" t="s">
        <v>1</v>
      </c>
      <c r="K2" s="119" t="s">
        <v>1</v>
      </c>
      <c r="L2" s="119" t="s">
        <v>1</v>
      </c>
      <c r="M2" s="119" t="s">
        <v>1</v>
      </c>
      <c r="N2" s="119" t="s">
        <v>1</v>
      </c>
      <c r="O2" s="119" t="s">
        <v>1</v>
      </c>
      <c r="P2" s="119" t="s">
        <v>1</v>
      </c>
      <c r="Q2" s="119" t="s">
        <v>1</v>
      </c>
      <c r="R2" s="119" t="s">
        <v>1</v>
      </c>
      <c r="S2" s="119" t="s">
        <v>1</v>
      </c>
    </row>
    <row r="3" spans="1:19" s="176" customFormat="1" x14ac:dyDescent="0.25">
      <c r="A3" s="175" t="s">
        <v>3</v>
      </c>
      <c r="B3" s="175" t="s">
        <v>269</v>
      </c>
      <c r="C3" s="181" t="s">
        <v>1</v>
      </c>
      <c r="D3" s="181" t="s">
        <v>1</v>
      </c>
      <c r="E3" s="181" t="s">
        <v>1</v>
      </c>
      <c r="F3" s="181" t="s">
        <v>1</v>
      </c>
      <c r="G3" s="181" t="s">
        <v>1</v>
      </c>
      <c r="H3" s="181" t="s">
        <v>1</v>
      </c>
      <c r="I3" s="181" t="s">
        <v>1</v>
      </c>
      <c r="J3" s="181" t="s">
        <v>1</v>
      </c>
      <c r="K3" s="181" t="s">
        <v>1</v>
      </c>
      <c r="L3" s="181" t="s">
        <v>1</v>
      </c>
      <c r="M3" s="181" t="s">
        <v>1</v>
      </c>
      <c r="N3" s="181" t="s">
        <v>1</v>
      </c>
      <c r="O3" s="181" t="s">
        <v>1</v>
      </c>
      <c r="P3" s="181" t="s">
        <v>1</v>
      </c>
      <c r="Q3" s="181" t="s">
        <v>1</v>
      </c>
      <c r="R3" s="181" t="s">
        <v>1</v>
      </c>
      <c r="S3" s="181" t="s">
        <v>1</v>
      </c>
    </row>
    <row r="4" spans="1:19" s="176" customFormat="1" ht="24" x14ac:dyDescent="0.25">
      <c r="A4" s="175" t="s">
        <v>4</v>
      </c>
      <c r="B4" s="175" t="s">
        <v>5</v>
      </c>
      <c r="C4" s="175" t="s">
        <v>6</v>
      </c>
      <c r="D4" s="175" t="s">
        <v>7</v>
      </c>
      <c r="E4" s="175" t="s">
        <v>8</v>
      </c>
      <c r="F4" s="175" t="s">
        <v>9</v>
      </c>
      <c r="G4" s="175" t="s">
        <v>10</v>
      </c>
      <c r="H4" s="175" t="s">
        <v>11</v>
      </c>
      <c r="I4" s="175" t="s">
        <v>12</v>
      </c>
      <c r="J4" s="175" t="s">
        <v>13</v>
      </c>
      <c r="K4" s="175" t="s">
        <v>14</v>
      </c>
      <c r="L4" s="175" t="s">
        <v>15</v>
      </c>
      <c r="M4" s="175" t="s">
        <v>16</v>
      </c>
      <c r="N4" s="175" t="s">
        <v>17</v>
      </c>
      <c r="O4" s="175" t="s">
        <v>18</v>
      </c>
      <c r="P4" s="175" t="s">
        <v>26</v>
      </c>
      <c r="Q4" s="175" t="s">
        <v>27</v>
      </c>
      <c r="R4" s="175" t="s">
        <v>28</v>
      </c>
      <c r="S4" s="175" t="s">
        <v>29</v>
      </c>
    </row>
    <row r="5" spans="1:19" s="176" customFormat="1" ht="33.75" x14ac:dyDescent="0.25">
      <c r="A5" s="177" t="s">
        <v>30</v>
      </c>
      <c r="B5" s="178" t="s">
        <v>31</v>
      </c>
      <c r="C5" s="179" t="s">
        <v>52</v>
      </c>
      <c r="D5" s="177" t="s">
        <v>33</v>
      </c>
      <c r="E5" s="177" t="s">
        <v>34</v>
      </c>
      <c r="F5" s="177" t="s">
        <v>35</v>
      </c>
      <c r="G5" s="177" t="s">
        <v>53</v>
      </c>
      <c r="H5" s="177"/>
      <c r="I5" s="177"/>
      <c r="J5" s="177"/>
      <c r="K5" s="177"/>
      <c r="L5" s="177" t="s">
        <v>36</v>
      </c>
      <c r="M5" s="177" t="s">
        <v>37</v>
      </c>
      <c r="N5" s="177" t="s">
        <v>38</v>
      </c>
      <c r="O5" s="178" t="s">
        <v>54</v>
      </c>
      <c r="P5" s="180">
        <v>666667</v>
      </c>
      <c r="Q5" s="180">
        <v>666667</v>
      </c>
      <c r="R5" s="180">
        <v>666667</v>
      </c>
      <c r="S5" s="180">
        <v>666667</v>
      </c>
    </row>
    <row r="6" spans="1:19" s="176" customFormat="1" ht="33.75" x14ac:dyDescent="0.25">
      <c r="A6" s="177" t="s">
        <v>30</v>
      </c>
      <c r="B6" s="178" t="s">
        <v>31</v>
      </c>
      <c r="C6" s="179" t="s">
        <v>60</v>
      </c>
      <c r="D6" s="177" t="s">
        <v>33</v>
      </c>
      <c r="E6" s="177" t="s">
        <v>53</v>
      </c>
      <c r="F6" s="177" t="s">
        <v>35</v>
      </c>
      <c r="G6" s="177" t="s">
        <v>41</v>
      </c>
      <c r="H6" s="177"/>
      <c r="I6" s="177"/>
      <c r="J6" s="177"/>
      <c r="K6" s="177"/>
      <c r="L6" s="177" t="s">
        <v>36</v>
      </c>
      <c r="M6" s="177" t="s">
        <v>37</v>
      </c>
      <c r="N6" s="177" t="s">
        <v>38</v>
      </c>
      <c r="O6" s="178" t="s">
        <v>61</v>
      </c>
      <c r="P6" s="180">
        <v>1428460867</v>
      </c>
      <c r="Q6" s="180">
        <v>1408344430</v>
      </c>
      <c r="R6" s="180">
        <v>1408344430</v>
      </c>
      <c r="S6" s="180">
        <v>1408344430</v>
      </c>
    </row>
    <row r="7" spans="1:19" s="176" customFormat="1" ht="45" x14ac:dyDescent="0.25">
      <c r="A7" s="177" t="s">
        <v>30</v>
      </c>
      <c r="B7" s="178" t="s">
        <v>31</v>
      </c>
      <c r="C7" s="179" t="s">
        <v>77</v>
      </c>
      <c r="D7" s="177" t="s">
        <v>78</v>
      </c>
      <c r="E7" s="177" t="s">
        <v>79</v>
      </c>
      <c r="F7" s="177" t="s">
        <v>80</v>
      </c>
      <c r="G7" s="177" t="s">
        <v>81</v>
      </c>
      <c r="H7" s="177"/>
      <c r="I7" s="177"/>
      <c r="J7" s="177"/>
      <c r="K7" s="177"/>
      <c r="L7" s="177" t="s">
        <v>82</v>
      </c>
      <c r="M7" s="177" t="s">
        <v>83</v>
      </c>
      <c r="N7" s="177" t="s">
        <v>38</v>
      </c>
      <c r="O7" s="178" t="s">
        <v>84</v>
      </c>
      <c r="P7" s="180">
        <v>6100278619</v>
      </c>
      <c r="Q7" s="180">
        <v>1109133083</v>
      </c>
      <c r="R7" s="180">
        <v>1109133083</v>
      </c>
      <c r="S7" s="180">
        <v>1109133083</v>
      </c>
    </row>
    <row r="8" spans="1:19" s="176" customFormat="1" ht="45" x14ac:dyDescent="0.25">
      <c r="A8" s="177" t="s">
        <v>30</v>
      </c>
      <c r="B8" s="178" t="s">
        <v>31</v>
      </c>
      <c r="C8" s="179" t="s">
        <v>77</v>
      </c>
      <c r="D8" s="177" t="s">
        <v>78</v>
      </c>
      <c r="E8" s="177" t="s">
        <v>79</v>
      </c>
      <c r="F8" s="177" t="s">
        <v>80</v>
      </c>
      <c r="G8" s="177" t="s">
        <v>81</v>
      </c>
      <c r="H8" s="177"/>
      <c r="I8" s="177"/>
      <c r="J8" s="177"/>
      <c r="K8" s="177"/>
      <c r="L8" s="177" t="s">
        <v>36</v>
      </c>
      <c r="M8" s="177" t="s">
        <v>37</v>
      </c>
      <c r="N8" s="177" t="s">
        <v>38</v>
      </c>
      <c r="O8" s="178" t="s">
        <v>84</v>
      </c>
      <c r="P8" s="180">
        <v>39747748056</v>
      </c>
      <c r="Q8" s="180">
        <v>11636618337</v>
      </c>
      <c r="R8" s="180">
        <v>6542495876</v>
      </c>
      <c r="S8" s="180">
        <v>6542495876</v>
      </c>
    </row>
    <row r="9" spans="1:19" s="176" customFormat="1" ht="45" x14ac:dyDescent="0.25">
      <c r="A9" s="177" t="s">
        <v>30</v>
      </c>
      <c r="B9" s="178" t="s">
        <v>31</v>
      </c>
      <c r="C9" s="179" t="s">
        <v>77</v>
      </c>
      <c r="D9" s="177" t="s">
        <v>78</v>
      </c>
      <c r="E9" s="177" t="s">
        <v>79</v>
      </c>
      <c r="F9" s="177" t="s">
        <v>80</v>
      </c>
      <c r="G9" s="177" t="s">
        <v>81</v>
      </c>
      <c r="H9" s="177"/>
      <c r="I9" s="177"/>
      <c r="J9" s="177"/>
      <c r="K9" s="177"/>
      <c r="L9" s="177" t="s">
        <v>36</v>
      </c>
      <c r="M9" s="177" t="s">
        <v>85</v>
      </c>
      <c r="N9" s="177" t="s">
        <v>38</v>
      </c>
      <c r="O9" s="178" t="s">
        <v>84</v>
      </c>
      <c r="P9" s="180">
        <v>10039582283</v>
      </c>
      <c r="Q9" s="180">
        <v>3078105593</v>
      </c>
      <c r="R9" s="180">
        <v>709323967</v>
      </c>
      <c r="S9" s="180">
        <v>709323967</v>
      </c>
    </row>
    <row r="10" spans="1:19" s="176" customFormat="1" ht="33.75" x14ac:dyDescent="0.25">
      <c r="A10" s="177" t="s">
        <v>30</v>
      </c>
      <c r="B10" s="178" t="s">
        <v>31</v>
      </c>
      <c r="C10" s="179" t="s">
        <v>246</v>
      </c>
      <c r="D10" s="177" t="s">
        <v>78</v>
      </c>
      <c r="E10" s="177" t="s">
        <v>79</v>
      </c>
      <c r="F10" s="177" t="s">
        <v>80</v>
      </c>
      <c r="G10" s="177" t="s">
        <v>247</v>
      </c>
      <c r="H10" s="177" t="s">
        <v>1</v>
      </c>
      <c r="I10" s="177" t="s">
        <v>1</v>
      </c>
      <c r="J10" s="177" t="s">
        <v>1</v>
      </c>
      <c r="K10" s="177" t="s">
        <v>1</v>
      </c>
      <c r="L10" s="177" t="s">
        <v>82</v>
      </c>
      <c r="M10" s="177" t="s">
        <v>83</v>
      </c>
      <c r="N10" s="177" t="s">
        <v>38</v>
      </c>
      <c r="O10" s="178" t="s">
        <v>248</v>
      </c>
      <c r="P10" s="180">
        <v>690666082</v>
      </c>
      <c r="Q10" s="180">
        <v>349328365</v>
      </c>
      <c r="R10" s="180">
        <v>0</v>
      </c>
      <c r="S10" s="180">
        <v>0</v>
      </c>
    </row>
    <row r="11" spans="1:19" s="176" customFormat="1" ht="45" x14ac:dyDescent="0.25">
      <c r="A11" s="177" t="s">
        <v>30</v>
      </c>
      <c r="B11" s="178" t="s">
        <v>31</v>
      </c>
      <c r="C11" s="179" t="s">
        <v>86</v>
      </c>
      <c r="D11" s="177" t="s">
        <v>78</v>
      </c>
      <c r="E11" s="177" t="s">
        <v>79</v>
      </c>
      <c r="F11" s="177" t="s">
        <v>80</v>
      </c>
      <c r="G11" s="177" t="s">
        <v>87</v>
      </c>
      <c r="H11" s="177" t="s">
        <v>1</v>
      </c>
      <c r="I11" s="177" t="s">
        <v>1</v>
      </c>
      <c r="J11" s="177" t="s">
        <v>1</v>
      </c>
      <c r="K11" s="177" t="s">
        <v>1</v>
      </c>
      <c r="L11" s="177" t="s">
        <v>82</v>
      </c>
      <c r="M11" s="177" t="s">
        <v>83</v>
      </c>
      <c r="N11" s="177" t="s">
        <v>38</v>
      </c>
      <c r="O11" s="178" t="s">
        <v>88</v>
      </c>
      <c r="P11" s="180">
        <v>22279557789</v>
      </c>
      <c r="Q11" s="180">
        <v>22279557789</v>
      </c>
      <c r="R11" s="180">
        <v>22279557789</v>
      </c>
      <c r="S11" s="180">
        <v>22279557789</v>
      </c>
    </row>
    <row r="12" spans="1:19" s="176" customFormat="1" ht="45" x14ac:dyDescent="0.25">
      <c r="A12" s="177" t="s">
        <v>30</v>
      </c>
      <c r="B12" s="178" t="s">
        <v>31</v>
      </c>
      <c r="C12" s="179" t="s">
        <v>86</v>
      </c>
      <c r="D12" s="177" t="s">
        <v>78</v>
      </c>
      <c r="E12" s="177" t="s">
        <v>79</v>
      </c>
      <c r="F12" s="177" t="s">
        <v>80</v>
      </c>
      <c r="G12" s="177" t="s">
        <v>87</v>
      </c>
      <c r="H12" s="177" t="s">
        <v>1</v>
      </c>
      <c r="I12" s="177" t="s">
        <v>1</v>
      </c>
      <c r="J12" s="177" t="s">
        <v>1</v>
      </c>
      <c r="K12" s="177" t="s">
        <v>1</v>
      </c>
      <c r="L12" s="177" t="s">
        <v>36</v>
      </c>
      <c r="M12" s="177" t="s">
        <v>85</v>
      </c>
      <c r="N12" s="177" t="s">
        <v>38</v>
      </c>
      <c r="O12" s="178" t="s">
        <v>88</v>
      </c>
      <c r="P12" s="180">
        <v>186384684</v>
      </c>
      <c r="Q12" s="180">
        <v>186384684</v>
      </c>
      <c r="R12" s="180">
        <v>186384684</v>
      </c>
      <c r="S12" s="180">
        <v>186384684</v>
      </c>
    </row>
    <row r="13" spans="1:19" s="176" customFormat="1" ht="33.75" x14ac:dyDescent="0.25">
      <c r="A13" s="177" t="s">
        <v>30</v>
      </c>
      <c r="B13" s="178" t="s">
        <v>31</v>
      </c>
      <c r="C13" s="179" t="s">
        <v>89</v>
      </c>
      <c r="D13" s="177" t="s">
        <v>78</v>
      </c>
      <c r="E13" s="177" t="s">
        <v>90</v>
      </c>
      <c r="F13" s="177" t="s">
        <v>80</v>
      </c>
      <c r="G13" s="177" t="s">
        <v>34</v>
      </c>
      <c r="H13" s="177"/>
      <c r="I13" s="177"/>
      <c r="J13" s="177"/>
      <c r="K13" s="177"/>
      <c r="L13" s="177" t="s">
        <v>36</v>
      </c>
      <c r="M13" s="177" t="s">
        <v>37</v>
      </c>
      <c r="N13" s="177" t="s">
        <v>38</v>
      </c>
      <c r="O13" s="178" t="s">
        <v>91</v>
      </c>
      <c r="P13" s="180">
        <v>448257000</v>
      </c>
      <c r="Q13" s="180">
        <v>448257000</v>
      </c>
      <c r="R13" s="180">
        <v>448257000</v>
      </c>
      <c r="S13" s="180">
        <v>448257000</v>
      </c>
    </row>
    <row r="14" spans="1:19" s="176" customFormat="1" ht="45" x14ac:dyDescent="0.25">
      <c r="A14" s="177" t="s">
        <v>30</v>
      </c>
      <c r="B14" s="178" t="s">
        <v>31</v>
      </c>
      <c r="C14" s="179" t="s">
        <v>95</v>
      </c>
      <c r="D14" s="177" t="s">
        <v>78</v>
      </c>
      <c r="E14" s="177" t="s">
        <v>93</v>
      </c>
      <c r="F14" s="177" t="s">
        <v>80</v>
      </c>
      <c r="G14" s="177" t="s">
        <v>58</v>
      </c>
      <c r="H14" s="177"/>
      <c r="I14" s="177"/>
      <c r="J14" s="177"/>
      <c r="K14" s="177"/>
      <c r="L14" s="177" t="s">
        <v>82</v>
      </c>
      <c r="M14" s="177" t="s">
        <v>83</v>
      </c>
      <c r="N14" s="177" t="s">
        <v>38</v>
      </c>
      <c r="O14" s="178" t="s">
        <v>96</v>
      </c>
      <c r="P14" s="180">
        <v>4913088309</v>
      </c>
      <c r="Q14" s="180">
        <v>3830711485</v>
      </c>
      <c r="R14" s="180">
        <v>3396949871</v>
      </c>
      <c r="S14" s="180">
        <v>3396949871</v>
      </c>
    </row>
    <row r="15" spans="1:19" s="176" customFormat="1" ht="45" x14ac:dyDescent="0.25">
      <c r="A15" s="177" t="s">
        <v>30</v>
      </c>
      <c r="B15" s="178" t="s">
        <v>31</v>
      </c>
      <c r="C15" s="179" t="s">
        <v>95</v>
      </c>
      <c r="D15" s="177" t="s">
        <v>78</v>
      </c>
      <c r="E15" s="177" t="s">
        <v>93</v>
      </c>
      <c r="F15" s="177" t="s">
        <v>80</v>
      </c>
      <c r="G15" s="177" t="s">
        <v>58</v>
      </c>
      <c r="H15" s="177"/>
      <c r="I15" s="177"/>
      <c r="J15" s="177"/>
      <c r="K15" s="177"/>
      <c r="L15" s="177" t="s">
        <v>36</v>
      </c>
      <c r="M15" s="177" t="s">
        <v>37</v>
      </c>
      <c r="N15" s="177" t="s">
        <v>38</v>
      </c>
      <c r="O15" s="178" t="s">
        <v>96</v>
      </c>
      <c r="P15" s="180">
        <v>12689979985</v>
      </c>
      <c r="Q15" s="180">
        <v>1526489243</v>
      </c>
      <c r="R15" s="180">
        <v>1526489243</v>
      </c>
      <c r="S15" s="180">
        <v>1526489243</v>
      </c>
    </row>
    <row r="16" spans="1:19" s="176" customFormat="1" ht="45" x14ac:dyDescent="0.25">
      <c r="A16" s="177" t="s">
        <v>30</v>
      </c>
      <c r="B16" s="178" t="s">
        <v>31</v>
      </c>
      <c r="C16" s="179" t="s">
        <v>95</v>
      </c>
      <c r="D16" s="177" t="s">
        <v>78</v>
      </c>
      <c r="E16" s="177" t="s">
        <v>93</v>
      </c>
      <c r="F16" s="177" t="s">
        <v>80</v>
      </c>
      <c r="G16" s="177" t="s">
        <v>58</v>
      </c>
      <c r="H16" s="177"/>
      <c r="I16" s="177"/>
      <c r="J16" s="177"/>
      <c r="K16" s="177"/>
      <c r="L16" s="177" t="s">
        <v>36</v>
      </c>
      <c r="M16" s="177" t="s">
        <v>85</v>
      </c>
      <c r="N16" s="177" t="s">
        <v>38</v>
      </c>
      <c r="O16" s="178" t="s">
        <v>96</v>
      </c>
      <c r="P16" s="180">
        <v>20780373367</v>
      </c>
      <c r="Q16" s="180">
        <v>15921132302</v>
      </c>
      <c r="R16" s="180">
        <v>15921132302</v>
      </c>
      <c r="S16" s="180">
        <v>15921132302</v>
      </c>
    </row>
    <row r="17" spans="1:19" s="176" customFormat="1" ht="45" x14ac:dyDescent="0.25">
      <c r="A17" s="177" t="s">
        <v>30</v>
      </c>
      <c r="B17" s="178" t="s">
        <v>31</v>
      </c>
      <c r="C17" s="179" t="s">
        <v>97</v>
      </c>
      <c r="D17" s="177" t="s">
        <v>78</v>
      </c>
      <c r="E17" s="177" t="s">
        <v>93</v>
      </c>
      <c r="F17" s="177" t="s">
        <v>80</v>
      </c>
      <c r="G17" s="177" t="s">
        <v>98</v>
      </c>
      <c r="H17" s="177"/>
      <c r="I17" s="177"/>
      <c r="J17" s="177"/>
      <c r="K17" s="177"/>
      <c r="L17" s="177" t="s">
        <v>36</v>
      </c>
      <c r="M17" s="177" t="s">
        <v>37</v>
      </c>
      <c r="N17" s="177" t="s">
        <v>38</v>
      </c>
      <c r="O17" s="178" t="s">
        <v>99</v>
      </c>
      <c r="P17" s="180">
        <v>1151574400</v>
      </c>
      <c r="Q17" s="180">
        <v>1151574400</v>
      </c>
      <c r="R17" s="180">
        <v>1151574400</v>
      </c>
      <c r="S17" s="180">
        <v>1151574400</v>
      </c>
    </row>
    <row r="18" spans="1:19" s="176" customFormat="1" ht="56.25" x14ac:dyDescent="0.25">
      <c r="A18" s="177" t="s">
        <v>30</v>
      </c>
      <c r="B18" s="178" t="s">
        <v>31</v>
      </c>
      <c r="C18" s="179" t="s">
        <v>249</v>
      </c>
      <c r="D18" s="177" t="s">
        <v>78</v>
      </c>
      <c r="E18" s="177" t="s">
        <v>93</v>
      </c>
      <c r="F18" s="177" t="s">
        <v>80</v>
      </c>
      <c r="G18" s="177" t="s">
        <v>250</v>
      </c>
      <c r="H18" s="177"/>
      <c r="I18" s="177"/>
      <c r="J18" s="177"/>
      <c r="K18" s="177"/>
      <c r="L18" s="177" t="s">
        <v>82</v>
      </c>
      <c r="M18" s="177" t="s">
        <v>83</v>
      </c>
      <c r="N18" s="177" t="s">
        <v>38</v>
      </c>
      <c r="O18" s="178" t="s">
        <v>251</v>
      </c>
      <c r="P18" s="180">
        <v>15793435810</v>
      </c>
      <c r="Q18" s="180">
        <v>9494281076</v>
      </c>
      <c r="R18" s="180">
        <v>7791678714</v>
      </c>
      <c r="S18" s="180">
        <v>7791678714</v>
      </c>
    </row>
    <row r="19" spans="1:19" s="176" customFormat="1" ht="56.25" x14ac:dyDescent="0.25">
      <c r="A19" s="177" t="s">
        <v>30</v>
      </c>
      <c r="B19" s="178" t="s">
        <v>31</v>
      </c>
      <c r="C19" s="179" t="s">
        <v>100</v>
      </c>
      <c r="D19" s="177" t="s">
        <v>78</v>
      </c>
      <c r="E19" s="177" t="s">
        <v>101</v>
      </c>
      <c r="F19" s="177" t="s">
        <v>80</v>
      </c>
      <c r="G19" s="177" t="s">
        <v>34</v>
      </c>
      <c r="H19" s="177"/>
      <c r="I19" s="177"/>
      <c r="J19" s="177"/>
      <c r="K19" s="177"/>
      <c r="L19" s="177" t="s">
        <v>36</v>
      </c>
      <c r="M19" s="177" t="s">
        <v>37</v>
      </c>
      <c r="N19" s="177" t="s">
        <v>38</v>
      </c>
      <c r="O19" s="178" t="s">
        <v>102</v>
      </c>
      <c r="P19" s="180">
        <v>1204140435</v>
      </c>
      <c r="Q19" s="180">
        <v>1198284312</v>
      </c>
      <c r="R19" s="180">
        <v>1198284312</v>
      </c>
      <c r="S19" s="180">
        <v>1198284312</v>
      </c>
    </row>
    <row r="20" spans="1:19" s="176" customFormat="1" ht="33.75" x14ac:dyDescent="0.25">
      <c r="A20" s="177" t="s">
        <v>30</v>
      </c>
      <c r="B20" s="178" t="s">
        <v>31</v>
      </c>
      <c r="C20" s="179" t="s">
        <v>103</v>
      </c>
      <c r="D20" s="177" t="s">
        <v>78</v>
      </c>
      <c r="E20" s="177" t="s">
        <v>104</v>
      </c>
      <c r="F20" s="177" t="s">
        <v>80</v>
      </c>
      <c r="G20" s="177" t="s">
        <v>34</v>
      </c>
      <c r="H20" s="177" t="s">
        <v>1</v>
      </c>
      <c r="I20" s="177" t="s">
        <v>1</v>
      </c>
      <c r="J20" s="177" t="s">
        <v>1</v>
      </c>
      <c r="K20" s="177" t="s">
        <v>1</v>
      </c>
      <c r="L20" s="177" t="s">
        <v>36</v>
      </c>
      <c r="M20" s="177" t="s">
        <v>37</v>
      </c>
      <c r="N20" s="177" t="s">
        <v>38</v>
      </c>
      <c r="O20" s="178" t="s">
        <v>105</v>
      </c>
      <c r="P20" s="180">
        <v>433520833</v>
      </c>
      <c r="Q20" s="180">
        <v>433520833</v>
      </c>
      <c r="R20" s="180">
        <v>433520833</v>
      </c>
      <c r="S20" s="180">
        <v>433520833</v>
      </c>
    </row>
    <row r="21" spans="1:19" s="176" customFormat="1" ht="45" x14ac:dyDescent="0.25">
      <c r="A21" s="177" t="s">
        <v>30</v>
      </c>
      <c r="B21" s="178" t="s">
        <v>31</v>
      </c>
      <c r="C21" s="179" t="s">
        <v>106</v>
      </c>
      <c r="D21" s="177" t="s">
        <v>78</v>
      </c>
      <c r="E21" s="177" t="s">
        <v>104</v>
      </c>
      <c r="F21" s="177" t="s">
        <v>80</v>
      </c>
      <c r="G21" s="177" t="s">
        <v>53</v>
      </c>
      <c r="H21" s="177" t="s">
        <v>1</v>
      </c>
      <c r="I21" s="177" t="s">
        <v>1</v>
      </c>
      <c r="J21" s="177" t="s">
        <v>1</v>
      </c>
      <c r="K21" s="177" t="s">
        <v>1</v>
      </c>
      <c r="L21" s="177" t="s">
        <v>36</v>
      </c>
      <c r="M21" s="177" t="s">
        <v>37</v>
      </c>
      <c r="N21" s="177" t="s">
        <v>38</v>
      </c>
      <c r="O21" s="178" t="s">
        <v>107</v>
      </c>
      <c r="P21" s="180">
        <v>258767650</v>
      </c>
      <c r="Q21" s="180">
        <v>258767650</v>
      </c>
      <c r="R21" s="180">
        <v>258767650</v>
      </c>
      <c r="S21" s="180">
        <v>258767650</v>
      </c>
    </row>
    <row r="22" spans="1:19" s="176" customFormat="1" ht="45" x14ac:dyDescent="0.25">
      <c r="A22" s="177" t="s">
        <v>30</v>
      </c>
      <c r="B22" s="178" t="s">
        <v>31</v>
      </c>
      <c r="C22" s="179" t="s">
        <v>108</v>
      </c>
      <c r="D22" s="177" t="s">
        <v>78</v>
      </c>
      <c r="E22" s="177" t="s">
        <v>104</v>
      </c>
      <c r="F22" s="177" t="s">
        <v>80</v>
      </c>
      <c r="G22" s="177" t="s">
        <v>58</v>
      </c>
      <c r="H22" s="177" t="s">
        <v>1</v>
      </c>
      <c r="I22" s="177" t="s">
        <v>1</v>
      </c>
      <c r="J22" s="177" t="s">
        <v>1</v>
      </c>
      <c r="K22" s="177" t="s">
        <v>1</v>
      </c>
      <c r="L22" s="177" t="s">
        <v>36</v>
      </c>
      <c r="M22" s="177" t="s">
        <v>37</v>
      </c>
      <c r="N22" s="177" t="s">
        <v>38</v>
      </c>
      <c r="O22" s="178" t="s">
        <v>109</v>
      </c>
      <c r="P22" s="180">
        <v>39379613</v>
      </c>
      <c r="Q22" s="180">
        <v>39379613</v>
      </c>
      <c r="R22" s="180">
        <v>39379613</v>
      </c>
      <c r="S22" s="180">
        <v>39379613</v>
      </c>
    </row>
    <row r="23" spans="1:19" s="176" customFormat="1" ht="56.25" x14ac:dyDescent="0.25">
      <c r="A23" s="177" t="s">
        <v>30</v>
      </c>
      <c r="B23" s="178" t="s">
        <v>31</v>
      </c>
      <c r="C23" s="179" t="s">
        <v>110</v>
      </c>
      <c r="D23" s="177" t="s">
        <v>78</v>
      </c>
      <c r="E23" s="177" t="s">
        <v>104</v>
      </c>
      <c r="F23" s="177" t="s">
        <v>80</v>
      </c>
      <c r="G23" s="177" t="s">
        <v>41</v>
      </c>
      <c r="H23" s="177" t="s">
        <v>1</v>
      </c>
      <c r="I23" s="177" t="s">
        <v>1</v>
      </c>
      <c r="J23" s="177" t="s">
        <v>1</v>
      </c>
      <c r="K23" s="177" t="s">
        <v>1</v>
      </c>
      <c r="L23" s="177" t="s">
        <v>36</v>
      </c>
      <c r="M23" s="177" t="s">
        <v>37</v>
      </c>
      <c r="N23" s="177" t="s">
        <v>38</v>
      </c>
      <c r="O23" s="178" t="s">
        <v>111</v>
      </c>
      <c r="P23" s="180">
        <v>402939584</v>
      </c>
      <c r="Q23" s="180">
        <v>401223252</v>
      </c>
      <c r="R23" s="180">
        <v>401223252</v>
      </c>
      <c r="S23" s="180">
        <v>401223252</v>
      </c>
    </row>
    <row r="24" spans="1:19" s="176" customFormat="1" ht="33.75" x14ac:dyDescent="0.25">
      <c r="A24" s="177" t="s">
        <v>30</v>
      </c>
      <c r="B24" s="178" t="s">
        <v>31</v>
      </c>
      <c r="C24" s="179" t="s">
        <v>114</v>
      </c>
      <c r="D24" s="177" t="s">
        <v>78</v>
      </c>
      <c r="E24" s="177" t="s">
        <v>104</v>
      </c>
      <c r="F24" s="177" t="s">
        <v>80</v>
      </c>
      <c r="G24" s="177" t="s">
        <v>69</v>
      </c>
      <c r="H24" s="177" t="s">
        <v>1</v>
      </c>
      <c r="I24" s="177" t="s">
        <v>1</v>
      </c>
      <c r="J24" s="177" t="s">
        <v>1</v>
      </c>
      <c r="K24" s="177" t="s">
        <v>1</v>
      </c>
      <c r="L24" s="177" t="s">
        <v>82</v>
      </c>
      <c r="M24" s="177" t="s">
        <v>83</v>
      </c>
      <c r="N24" s="177" t="s">
        <v>38</v>
      </c>
      <c r="O24" s="178" t="s">
        <v>115</v>
      </c>
      <c r="P24" s="180">
        <v>428616739</v>
      </c>
      <c r="Q24" s="180">
        <v>58006347</v>
      </c>
      <c r="R24" s="180">
        <v>0</v>
      </c>
      <c r="S24" s="180">
        <v>0</v>
      </c>
    </row>
    <row r="25" spans="1:19" s="176" customFormat="1" ht="33.75" x14ac:dyDescent="0.25">
      <c r="A25" s="177" t="s">
        <v>30</v>
      </c>
      <c r="B25" s="178" t="s">
        <v>31</v>
      </c>
      <c r="C25" s="179" t="s">
        <v>114</v>
      </c>
      <c r="D25" s="177" t="s">
        <v>78</v>
      </c>
      <c r="E25" s="177" t="s">
        <v>104</v>
      </c>
      <c r="F25" s="177" t="s">
        <v>80</v>
      </c>
      <c r="G25" s="177" t="s">
        <v>69</v>
      </c>
      <c r="H25" s="177" t="s">
        <v>1</v>
      </c>
      <c r="I25" s="177" t="s">
        <v>1</v>
      </c>
      <c r="J25" s="177" t="s">
        <v>1</v>
      </c>
      <c r="K25" s="177" t="s">
        <v>1</v>
      </c>
      <c r="L25" s="177" t="s">
        <v>36</v>
      </c>
      <c r="M25" s="177" t="s">
        <v>37</v>
      </c>
      <c r="N25" s="177" t="s">
        <v>38</v>
      </c>
      <c r="O25" s="178" t="s">
        <v>115</v>
      </c>
      <c r="P25" s="180">
        <v>1547467188</v>
      </c>
      <c r="Q25" s="180">
        <v>1110037085</v>
      </c>
      <c r="R25" s="180">
        <v>1110037085</v>
      </c>
      <c r="S25" s="180">
        <v>1110037085</v>
      </c>
    </row>
    <row r="26" spans="1:19" s="176" customFormat="1" ht="33.75" x14ac:dyDescent="0.25">
      <c r="A26" s="177" t="s">
        <v>30</v>
      </c>
      <c r="B26" s="178" t="s">
        <v>31</v>
      </c>
      <c r="C26" s="179" t="s">
        <v>114</v>
      </c>
      <c r="D26" s="177" t="s">
        <v>78</v>
      </c>
      <c r="E26" s="177" t="s">
        <v>104</v>
      </c>
      <c r="F26" s="177" t="s">
        <v>80</v>
      </c>
      <c r="G26" s="177" t="s">
        <v>69</v>
      </c>
      <c r="H26" s="177" t="s">
        <v>1</v>
      </c>
      <c r="I26" s="177" t="s">
        <v>1</v>
      </c>
      <c r="J26" s="177" t="s">
        <v>1</v>
      </c>
      <c r="K26" s="177" t="s">
        <v>1</v>
      </c>
      <c r="L26" s="177" t="s">
        <v>36</v>
      </c>
      <c r="M26" s="177" t="s">
        <v>85</v>
      </c>
      <c r="N26" s="177" t="s">
        <v>38</v>
      </c>
      <c r="O26" s="178" t="s">
        <v>115</v>
      </c>
      <c r="P26" s="180">
        <v>380007</v>
      </c>
      <c r="Q26" s="180">
        <v>0</v>
      </c>
      <c r="R26" s="180">
        <v>0</v>
      </c>
      <c r="S26" s="180">
        <v>0</v>
      </c>
    </row>
    <row r="27" spans="1:19" s="176" customFormat="1" ht="56.25" x14ac:dyDescent="0.25">
      <c r="A27" s="177" t="s">
        <v>30</v>
      </c>
      <c r="B27" s="178" t="s">
        <v>31</v>
      </c>
      <c r="C27" s="179" t="s">
        <v>123</v>
      </c>
      <c r="D27" s="177" t="s">
        <v>78</v>
      </c>
      <c r="E27" s="177" t="s">
        <v>104</v>
      </c>
      <c r="F27" s="177" t="s">
        <v>80</v>
      </c>
      <c r="G27" s="177" t="s">
        <v>50</v>
      </c>
      <c r="H27" s="177" t="s">
        <v>1</v>
      </c>
      <c r="I27" s="177" t="s">
        <v>1</v>
      </c>
      <c r="J27" s="177" t="s">
        <v>1</v>
      </c>
      <c r="K27" s="177" t="s">
        <v>1</v>
      </c>
      <c r="L27" s="177" t="s">
        <v>82</v>
      </c>
      <c r="M27" s="177" t="s">
        <v>83</v>
      </c>
      <c r="N27" s="177" t="s">
        <v>38</v>
      </c>
      <c r="O27" s="178" t="s">
        <v>124</v>
      </c>
      <c r="P27" s="180">
        <v>500000000</v>
      </c>
      <c r="Q27" s="180">
        <v>500000000</v>
      </c>
      <c r="R27" s="180">
        <v>0</v>
      </c>
      <c r="S27" s="180">
        <v>0</v>
      </c>
    </row>
    <row r="28" spans="1:19" s="176" customFormat="1" ht="56.25" x14ac:dyDescent="0.25">
      <c r="A28" s="177" t="s">
        <v>30</v>
      </c>
      <c r="B28" s="178" t="s">
        <v>31</v>
      </c>
      <c r="C28" s="179" t="s">
        <v>123</v>
      </c>
      <c r="D28" s="177" t="s">
        <v>78</v>
      </c>
      <c r="E28" s="177" t="s">
        <v>104</v>
      </c>
      <c r="F28" s="177" t="s">
        <v>80</v>
      </c>
      <c r="G28" s="177" t="s">
        <v>50</v>
      </c>
      <c r="H28" s="177" t="s">
        <v>1</v>
      </c>
      <c r="I28" s="177" t="s">
        <v>1</v>
      </c>
      <c r="J28" s="177" t="s">
        <v>1</v>
      </c>
      <c r="K28" s="177" t="s">
        <v>1</v>
      </c>
      <c r="L28" s="177" t="s">
        <v>36</v>
      </c>
      <c r="M28" s="177" t="s">
        <v>37</v>
      </c>
      <c r="N28" s="177" t="s">
        <v>38</v>
      </c>
      <c r="O28" s="178" t="s">
        <v>124</v>
      </c>
      <c r="P28" s="180">
        <v>1177703845</v>
      </c>
      <c r="Q28" s="180">
        <v>1162717242</v>
      </c>
      <c r="R28" s="180">
        <v>1159207414</v>
      </c>
      <c r="S28" s="180">
        <v>1159207414</v>
      </c>
    </row>
    <row r="29" spans="1:19" s="176" customFormat="1" ht="45" x14ac:dyDescent="0.25">
      <c r="A29" s="177" t="s">
        <v>30</v>
      </c>
      <c r="B29" s="178" t="s">
        <v>31</v>
      </c>
      <c r="C29" s="179" t="s">
        <v>125</v>
      </c>
      <c r="D29" s="177" t="s">
        <v>78</v>
      </c>
      <c r="E29" s="177" t="s">
        <v>104</v>
      </c>
      <c r="F29" s="177" t="s">
        <v>80</v>
      </c>
      <c r="G29" s="177" t="s">
        <v>83</v>
      </c>
      <c r="H29" s="177" t="s">
        <v>1</v>
      </c>
      <c r="I29" s="177" t="s">
        <v>1</v>
      </c>
      <c r="J29" s="177" t="s">
        <v>1</v>
      </c>
      <c r="K29" s="177" t="s">
        <v>1</v>
      </c>
      <c r="L29" s="177" t="s">
        <v>82</v>
      </c>
      <c r="M29" s="177" t="s">
        <v>83</v>
      </c>
      <c r="N29" s="177" t="s">
        <v>38</v>
      </c>
      <c r="O29" s="178" t="s">
        <v>126</v>
      </c>
      <c r="P29" s="180">
        <v>1352644383</v>
      </c>
      <c r="Q29" s="180">
        <v>1352644383</v>
      </c>
      <c r="R29" s="180">
        <v>1352644383</v>
      </c>
      <c r="S29" s="180">
        <v>1352644383</v>
      </c>
    </row>
    <row r="30" spans="1:19" s="176" customFormat="1" ht="45" x14ac:dyDescent="0.25">
      <c r="A30" s="177" t="s">
        <v>30</v>
      </c>
      <c r="B30" s="178" t="s">
        <v>31</v>
      </c>
      <c r="C30" s="179" t="s">
        <v>125</v>
      </c>
      <c r="D30" s="177" t="s">
        <v>78</v>
      </c>
      <c r="E30" s="177" t="s">
        <v>104</v>
      </c>
      <c r="F30" s="177" t="s">
        <v>80</v>
      </c>
      <c r="G30" s="177" t="s">
        <v>83</v>
      </c>
      <c r="H30" s="177" t="s">
        <v>1</v>
      </c>
      <c r="I30" s="177" t="s">
        <v>1</v>
      </c>
      <c r="J30" s="177" t="s">
        <v>1</v>
      </c>
      <c r="K30" s="177" t="s">
        <v>1</v>
      </c>
      <c r="L30" s="177" t="s">
        <v>36</v>
      </c>
      <c r="M30" s="177" t="s">
        <v>37</v>
      </c>
      <c r="N30" s="177" t="s">
        <v>38</v>
      </c>
      <c r="O30" s="178" t="s">
        <v>126</v>
      </c>
      <c r="P30" s="180">
        <v>29297625</v>
      </c>
      <c r="Q30" s="180">
        <v>29297625</v>
      </c>
      <c r="R30" s="180">
        <v>29297625</v>
      </c>
      <c r="S30" s="180">
        <v>29297625</v>
      </c>
    </row>
    <row r="31" spans="1:19" s="176" customFormat="1" ht="45" x14ac:dyDescent="0.25">
      <c r="A31" s="177" t="s">
        <v>30</v>
      </c>
      <c r="B31" s="178" t="s">
        <v>31</v>
      </c>
      <c r="C31" s="179" t="s">
        <v>127</v>
      </c>
      <c r="D31" s="177" t="s">
        <v>78</v>
      </c>
      <c r="E31" s="177" t="s">
        <v>104</v>
      </c>
      <c r="F31" s="177" t="s">
        <v>80</v>
      </c>
      <c r="G31" s="177" t="s">
        <v>128</v>
      </c>
      <c r="H31" s="177" t="s">
        <v>1</v>
      </c>
      <c r="I31" s="177" t="s">
        <v>1</v>
      </c>
      <c r="J31" s="177" t="s">
        <v>1</v>
      </c>
      <c r="K31" s="177" t="s">
        <v>1</v>
      </c>
      <c r="L31" s="177" t="s">
        <v>36</v>
      </c>
      <c r="M31" s="177" t="s">
        <v>37</v>
      </c>
      <c r="N31" s="177" t="s">
        <v>38</v>
      </c>
      <c r="O31" s="178" t="s">
        <v>129</v>
      </c>
      <c r="P31" s="180">
        <v>4209183721</v>
      </c>
      <c r="Q31" s="180">
        <v>3095461422</v>
      </c>
      <c r="R31" s="180">
        <v>1679447021</v>
      </c>
      <c r="S31" s="180">
        <v>1679447021</v>
      </c>
    </row>
    <row r="32" spans="1:19" s="176" customFormat="1" ht="33.75" x14ac:dyDescent="0.25">
      <c r="A32" s="177" t="s">
        <v>30</v>
      </c>
      <c r="B32" s="178" t="s">
        <v>31</v>
      </c>
      <c r="C32" s="179" t="s">
        <v>130</v>
      </c>
      <c r="D32" s="177" t="s">
        <v>78</v>
      </c>
      <c r="E32" s="177" t="s">
        <v>104</v>
      </c>
      <c r="F32" s="177" t="s">
        <v>80</v>
      </c>
      <c r="G32" s="177" t="s">
        <v>131</v>
      </c>
      <c r="H32" s="177" t="s">
        <v>1</v>
      </c>
      <c r="I32" s="177" t="s">
        <v>1</v>
      </c>
      <c r="J32" s="177" t="s">
        <v>1</v>
      </c>
      <c r="K32" s="177" t="s">
        <v>1</v>
      </c>
      <c r="L32" s="177" t="s">
        <v>36</v>
      </c>
      <c r="M32" s="177" t="s">
        <v>37</v>
      </c>
      <c r="N32" s="177" t="s">
        <v>38</v>
      </c>
      <c r="O32" s="178" t="s">
        <v>132</v>
      </c>
      <c r="P32" s="180">
        <v>131907215</v>
      </c>
      <c r="Q32" s="180">
        <v>131907215</v>
      </c>
      <c r="R32" s="180">
        <v>131907215</v>
      </c>
      <c r="S32" s="180">
        <v>131907215</v>
      </c>
    </row>
    <row r="33" spans="1:19" s="176" customFormat="1" ht="33.75" x14ac:dyDescent="0.25">
      <c r="A33" s="177" t="s">
        <v>30</v>
      </c>
      <c r="B33" s="178" t="s">
        <v>31</v>
      </c>
      <c r="C33" s="179" t="s">
        <v>133</v>
      </c>
      <c r="D33" s="177" t="s">
        <v>78</v>
      </c>
      <c r="E33" s="177" t="s">
        <v>104</v>
      </c>
      <c r="F33" s="177" t="s">
        <v>80</v>
      </c>
      <c r="G33" s="177" t="s">
        <v>134</v>
      </c>
      <c r="H33" s="177" t="s">
        <v>1</v>
      </c>
      <c r="I33" s="177" t="s">
        <v>1</v>
      </c>
      <c r="J33" s="177" t="s">
        <v>1</v>
      </c>
      <c r="K33" s="177" t="s">
        <v>1</v>
      </c>
      <c r="L33" s="177" t="s">
        <v>36</v>
      </c>
      <c r="M33" s="177" t="s">
        <v>37</v>
      </c>
      <c r="N33" s="177" t="s">
        <v>38</v>
      </c>
      <c r="O33" s="178" t="s">
        <v>135</v>
      </c>
      <c r="P33" s="180">
        <v>0</v>
      </c>
      <c r="Q33" s="180">
        <v>0</v>
      </c>
      <c r="R33" s="180">
        <v>0</v>
      </c>
      <c r="S33" s="180">
        <v>0</v>
      </c>
    </row>
    <row r="34" spans="1:19" s="176" customFormat="1" ht="45" x14ac:dyDescent="0.25">
      <c r="A34" s="177" t="s">
        <v>30</v>
      </c>
      <c r="B34" s="178" t="s">
        <v>31</v>
      </c>
      <c r="C34" s="179" t="s">
        <v>139</v>
      </c>
      <c r="D34" s="177" t="s">
        <v>78</v>
      </c>
      <c r="E34" s="177" t="s">
        <v>104</v>
      </c>
      <c r="F34" s="177" t="s">
        <v>80</v>
      </c>
      <c r="G34" s="177" t="s">
        <v>140</v>
      </c>
      <c r="H34" s="177" t="s">
        <v>1</v>
      </c>
      <c r="I34" s="177" t="s">
        <v>1</v>
      </c>
      <c r="J34" s="177" t="s">
        <v>1</v>
      </c>
      <c r="K34" s="177" t="s">
        <v>1</v>
      </c>
      <c r="L34" s="177" t="s">
        <v>82</v>
      </c>
      <c r="M34" s="177" t="s">
        <v>83</v>
      </c>
      <c r="N34" s="177" t="s">
        <v>38</v>
      </c>
      <c r="O34" s="178" t="s">
        <v>141</v>
      </c>
      <c r="P34" s="180">
        <v>5011223929</v>
      </c>
      <c r="Q34" s="180">
        <v>5011223928</v>
      </c>
      <c r="R34" s="180">
        <v>3961062015</v>
      </c>
      <c r="S34" s="180">
        <v>3961062015</v>
      </c>
    </row>
    <row r="35" spans="1:19" s="176" customFormat="1" ht="45" x14ac:dyDescent="0.25">
      <c r="A35" s="177" t="s">
        <v>30</v>
      </c>
      <c r="B35" s="178" t="s">
        <v>31</v>
      </c>
      <c r="C35" s="179" t="s">
        <v>139</v>
      </c>
      <c r="D35" s="177" t="s">
        <v>78</v>
      </c>
      <c r="E35" s="177" t="s">
        <v>104</v>
      </c>
      <c r="F35" s="177" t="s">
        <v>80</v>
      </c>
      <c r="G35" s="177" t="s">
        <v>140</v>
      </c>
      <c r="H35" s="177" t="s">
        <v>1</v>
      </c>
      <c r="I35" s="177" t="s">
        <v>1</v>
      </c>
      <c r="J35" s="177" t="s">
        <v>1</v>
      </c>
      <c r="K35" s="177" t="s">
        <v>1</v>
      </c>
      <c r="L35" s="177" t="s">
        <v>36</v>
      </c>
      <c r="M35" s="177" t="s">
        <v>37</v>
      </c>
      <c r="N35" s="177" t="s">
        <v>38</v>
      </c>
      <c r="O35" s="178" t="s">
        <v>141</v>
      </c>
      <c r="P35" s="180">
        <v>1314074737</v>
      </c>
      <c r="Q35" s="180">
        <v>442972775</v>
      </c>
      <c r="R35" s="180">
        <v>442972775</v>
      </c>
      <c r="S35" s="180">
        <v>442972775</v>
      </c>
    </row>
    <row r="36" spans="1:19" s="176" customFormat="1" ht="45" x14ac:dyDescent="0.25">
      <c r="A36" s="177" t="s">
        <v>30</v>
      </c>
      <c r="B36" s="178" t="s">
        <v>31</v>
      </c>
      <c r="C36" s="179" t="s">
        <v>139</v>
      </c>
      <c r="D36" s="177" t="s">
        <v>78</v>
      </c>
      <c r="E36" s="177" t="s">
        <v>104</v>
      </c>
      <c r="F36" s="177" t="s">
        <v>80</v>
      </c>
      <c r="G36" s="177" t="s">
        <v>140</v>
      </c>
      <c r="H36" s="177" t="s">
        <v>1</v>
      </c>
      <c r="I36" s="177" t="s">
        <v>1</v>
      </c>
      <c r="J36" s="177" t="s">
        <v>1</v>
      </c>
      <c r="K36" s="177" t="s">
        <v>1</v>
      </c>
      <c r="L36" s="177" t="s">
        <v>36</v>
      </c>
      <c r="M36" s="177" t="s">
        <v>85</v>
      </c>
      <c r="N36" s="177" t="s">
        <v>38</v>
      </c>
      <c r="O36" s="178" t="s">
        <v>141</v>
      </c>
      <c r="P36" s="180">
        <v>16803164</v>
      </c>
      <c r="Q36" s="180">
        <v>16803164</v>
      </c>
      <c r="R36" s="180">
        <v>16803164</v>
      </c>
      <c r="S36" s="180">
        <v>16803164</v>
      </c>
    </row>
    <row r="37" spans="1:19" s="176" customFormat="1" ht="45" x14ac:dyDescent="0.25">
      <c r="A37" s="177" t="s">
        <v>30</v>
      </c>
      <c r="B37" s="178" t="s">
        <v>31</v>
      </c>
      <c r="C37" s="179" t="s">
        <v>142</v>
      </c>
      <c r="D37" s="177" t="s">
        <v>78</v>
      </c>
      <c r="E37" s="177" t="s">
        <v>104</v>
      </c>
      <c r="F37" s="177" t="s">
        <v>80</v>
      </c>
      <c r="G37" s="177" t="s">
        <v>143</v>
      </c>
      <c r="H37" s="177" t="s">
        <v>1</v>
      </c>
      <c r="I37" s="177" t="s">
        <v>1</v>
      </c>
      <c r="J37" s="177" t="s">
        <v>1</v>
      </c>
      <c r="K37" s="177" t="s">
        <v>1</v>
      </c>
      <c r="L37" s="177" t="s">
        <v>36</v>
      </c>
      <c r="M37" s="177" t="s">
        <v>37</v>
      </c>
      <c r="N37" s="177" t="s">
        <v>38</v>
      </c>
      <c r="O37" s="178" t="s">
        <v>144</v>
      </c>
      <c r="P37" s="180">
        <v>1370497941</v>
      </c>
      <c r="Q37" s="180">
        <v>1370497940</v>
      </c>
      <c r="R37" s="180">
        <v>1122977140</v>
      </c>
      <c r="S37" s="180">
        <v>1122977140</v>
      </c>
    </row>
    <row r="38" spans="1:19" s="176" customFormat="1" ht="33.75" x14ac:dyDescent="0.25">
      <c r="A38" s="177" t="s">
        <v>30</v>
      </c>
      <c r="B38" s="178" t="s">
        <v>31</v>
      </c>
      <c r="C38" s="179" t="s">
        <v>145</v>
      </c>
      <c r="D38" s="177" t="s">
        <v>78</v>
      </c>
      <c r="E38" s="177" t="s">
        <v>104</v>
      </c>
      <c r="F38" s="177" t="s">
        <v>80</v>
      </c>
      <c r="G38" s="177" t="s">
        <v>146</v>
      </c>
      <c r="H38" s="177" t="s">
        <v>1</v>
      </c>
      <c r="I38" s="177" t="s">
        <v>1</v>
      </c>
      <c r="J38" s="177" t="s">
        <v>1</v>
      </c>
      <c r="K38" s="177" t="s">
        <v>1</v>
      </c>
      <c r="L38" s="177" t="s">
        <v>36</v>
      </c>
      <c r="M38" s="177" t="s">
        <v>37</v>
      </c>
      <c r="N38" s="177" t="s">
        <v>38</v>
      </c>
      <c r="O38" s="178" t="s">
        <v>147</v>
      </c>
      <c r="P38" s="180">
        <v>131311658</v>
      </c>
      <c r="Q38" s="180">
        <v>131311658</v>
      </c>
      <c r="R38" s="180">
        <v>131311658</v>
      </c>
      <c r="S38" s="180">
        <v>131311658</v>
      </c>
    </row>
    <row r="39" spans="1:19" s="176" customFormat="1" ht="33.75" x14ac:dyDescent="0.25">
      <c r="A39" s="177" t="s">
        <v>30</v>
      </c>
      <c r="B39" s="178" t="s">
        <v>31</v>
      </c>
      <c r="C39" s="179" t="s">
        <v>148</v>
      </c>
      <c r="D39" s="177" t="s">
        <v>78</v>
      </c>
      <c r="E39" s="177" t="s">
        <v>104</v>
      </c>
      <c r="F39" s="177" t="s">
        <v>80</v>
      </c>
      <c r="G39" s="177" t="s">
        <v>149</v>
      </c>
      <c r="H39" s="177" t="s">
        <v>1</v>
      </c>
      <c r="I39" s="177" t="s">
        <v>1</v>
      </c>
      <c r="J39" s="177" t="s">
        <v>1</v>
      </c>
      <c r="K39" s="177" t="s">
        <v>1</v>
      </c>
      <c r="L39" s="177" t="s">
        <v>36</v>
      </c>
      <c r="M39" s="177" t="s">
        <v>37</v>
      </c>
      <c r="N39" s="177" t="s">
        <v>38</v>
      </c>
      <c r="O39" s="178" t="s">
        <v>150</v>
      </c>
      <c r="P39" s="180">
        <v>70168624</v>
      </c>
      <c r="Q39" s="180">
        <v>70168624</v>
      </c>
      <c r="R39" s="180">
        <v>70168624</v>
      </c>
      <c r="S39" s="180">
        <v>70168624</v>
      </c>
    </row>
    <row r="40" spans="1:19" s="176" customFormat="1" ht="67.5" x14ac:dyDescent="0.25">
      <c r="A40" s="177" t="s">
        <v>30</v>
      </c>
      <c r="B40" s="178" t="s">
        <v>31</v>
      </c>
      <c r="C40" s="179" t="s">
        <v>151</v>
      </c>
      <c r="D40" s="177" t="s">
        <v>78</v>
      </c>
      <c r="E40" s="177" t="s">
        <v>104</v>
      </c>
      <c r="F40" s="177" t="s">
        <v>80</v>
      </c>
      <c r="G40" s="177" t="s">
        <v>152</v>
      </c>
      <c r="H40" s="177" t="s">
        <v>1</v>
      </c>
      <c r="I40" s="177" t="s">
        <v>1</v>
      </c>
      <c r="J40" s="177" t="s">
        <v>1</v>
      </c>
      <c r="K40" s="177" t="s">
        <v>1</v>
      </c>
      <c r="L40" s="177" t="s">
        <v>36</v>
      </c>
      <c r="M40" s="177" t="s">
        <v>37</v>
      </c>
      <c r="N40" s="177" t="s">
        <v>38</v>
      </c>
      <c r="O40" s="178" t="s">
        <v>153</v>
      </c>
      <c r="P40" s="180">
        <v>35765835</v>
      </c>
      <c r="Q40" s="180">
        <v>35765835</v>
      </c>
      <c r="R40" s="180">
        <v>35765835</v>
      </c>
      <c r="S40" s="180">
        <v>35765835</v>
      </c>
    </row>
    <row r="41" spans="1:19" s="176" customFormat="1" ht="45" x14ac:dyDescent="0.25">
      <c r="A41" s="177" t="s">
        <v>30</v>
      </c>
      <c r="B41" s="178" t="s">
        <v>31</v>
      </c>
      <c r="C41" s="179" t="s">
        <v>157</v>
      </c>
      <c r="D41" s="177" t="s">
        <v>78</v>
      </c>
      <c r="E41" s="177" t="s">
        <v>158</v>
      </c>
      <c r="F41" s="177" t="s">
        <v>80</v>
      </c>
      <c r="G41" s="177" t="s">
        <v>34</v>
      </c>
      <c r="H41" s="177" t="s">
        <v>1</v>
      </c>
      <c r="I41" s="177" t="s">
        <v>1</v>
      </c>
      <c r="J41" s="177" t="s">
        <v>1</v>
      </c>
      <c r="K41" s="177" t="s">
        <v>1</v>
      </c>
      <c r="L41" s="177" t="s">
        <v>36</v>
      </c>
      <c r="M41" s="177" t="s">
        <v>37</v>
      </c>
      <c r="N41" s="177" t="s">
        <v>38</v>
      </c>
      <c r="O41" s="178" t="s">
        <v>159</v>
      </c>
      <c r="P41" s="180">
        <v>166144866</v>
      </c>
      <c r="Q41" s="180">
        <v>163490748</v>
      </c>
      <c r="R41" s="180">
        <v>163490748</v>
      </c>
      <c r="S41" s="180">
        <v>163490748</v>
      </c>
    </row>
    <row r="42" spans="1:19" s="176" customFormat="1" ht="33.75" x14ac:dyDescent="0.25">
      <c r="A42" s="177" t="s">
        <v>30</v>
      </c>
      <c r="B42" s="178" t="s">
        <v>31</v>
      </c>
      <c r="C42" s="179" t="s">
        <v>160</v>
      </c>
      <c r="D42" s="177" t="s">
        <v>78</v>
      </c>
      <c r="E42" s="177" t="s">
        <v>161</v>
      </c>
      <c r="F42" s="177" t="s">
        <v>80</v>
      </c>
      <c r="G42" s="177" t="s">
        <v>53</v>
      </c>
      <c r="H42" s="177"/>
      <c r="I42" s="177"/>
      <c r="J42" s="177"/>
      <c r="K42" s="177"/>
      <c r="L42" s="177" t="s">
        <v>36</v>
      </c>
      <c r="M42" s="177" t="s">
        <v>37</v>
      </c>
      <c r="N42" s="177" t="s">
        <v>38</v>
      </c>
      <c r="O42" s="178" t="s">
        <v>162</v>
      </c>
      <c r="P42" s="180">
        <v>4368000</v>
      </c>
      <c r="Q42" s="180">
        <v>4368000</v>
      </c>
      <c r="R42" s="180">
        <v>4368000</v>
      </c>
      <c r="S42" s="180">
        <v>4368000</v>
      </c>
    </row>
    <row r="43" spans="1:19" s="176" customFormat="1" ht="33.75" x14ac:dyDescent="0.25">
      <c r="A43" s="177" t="s">
        <v>30</v>
      </c>
      <c r="B43" s="178" t="s">
        <v>31</v>
      </c>
      <c r="C43" s="179" t="s">
        <v>163</v>
      </c>
      <c r="D43" s="177" t="s">
        <v>78</v>
      </c>
      <c r="E43" s="177" t="s">
        <v>161</v>
      </c>
      <c r="F43" s="177" t="s">
        <v>80</v>
      </c>
      <c r="G43" s="177" t="s">
        <v>41</v>
      </c>
      <c r="H43" s="177"/>
      <c r="I43" s="177"/>
      <c r="J43" s="177"/>
      <c r="K43" s="177"/>
      <c r="L43" s="177" t="s">
        <v>36</v>
      </c>
      <c r="M43" s="177" t="s">
        <v>37</v>
      </c>
      <c r="N43" s="177" t="s">
        <v>38</v>
      </c>
      <c r="O43" s="178" t="s">
        <v>164</v>
      </c>
      <c r="P43" s="180">
        <v>1133102256</v>
      </c>
      <c r="Q43" s="180">
        <v>538302773</v>
      </c>
      <c r="R43" s="180">
        <v>538302773</v>
      </c>
      <c r="S43" s="180">
        <v>538302773</v>
      </c>
    </row>
    <row r="44" spans="1:19" s="176" customFormat="1" ht="33.75" x14ac:dyDescent="0.25">
      <c r="A44" s="177" t="s">
        <v>30</v>
      </c>
      <c r="B44" s="178" t="s">
        <v>31</v>
      </c>
      <c r="C44" s="179" t="s">
        <v>165</v>
      </c>
      <c r="D44" s="177" t="s">
        <v>78</v>
      </c>
      <c r="E44" s="177" t="s">
        <v>161</v>
      </c>
      <c r="F44" s="177" t="s">
        <v>80</v>
      </c>
      <c r="G44" s="177" t="s">
        <v>166</v>
      </c>
      <c r="H44" s="177"/>
      <c r="I44" s="177"/>
      <c r="J44" s="177"/>
      <c r="K44" s="177"/>
      <c r="L44" s="177" t="s">
        <v>36</v>
      </c>
      <c r="M44" s="177" t="s">
        <v>37</v>
      </c>
      <c r="N44" s="177" t="s">
        <v>38</v>
      </c>
      <c r="O44" s="178" t="s">
        <v>167</v>
      </c>
      <c r="P44" s="180">
        <v>477911</v>
      </c>
      <c r="Q44" s="180">
        <v>477911</v>
      </c>
      <c r="R44" s="180">
        <v>477911</v>
      </c>
      <c r="S44" s="180">
        <v>477911</v>
      </c>
    </row>
    <row r="45" spans="1:19" s="176" customFormat="1" x14ac:dyDescent="0.25">
      <c r="A45" s="177" t="s">
        <v>1</v>
      </c>
      <c r="B45" s="178" t="s">
        <v>1</v>
      </c>
      <c r="C45" s="179" t="s">
        <v>1</v>
      </c>
      <c r="D45" s="177" t="s">
        <v>1</v>
      </c>
      <c r="E45" s="177" t="s">
        <v>1</v>
      </c>
      <c r="F45" s="177" t="s">
        <v>1</v>
      </c>
      <c r="G45" s="177" t="s">
        <v>1</v>
      </c>
      <c r="H45" s="177" t="s">
        <v>1</v>
      </c>
      <c r="I45" s="177" t="s">
        <v>1</v>
      </c>
      <c r="J45" s="177" t="s">
        <v>1</v>
      </c>
      <c r="K45" s="177" t="s">
        <v>1</v>
      </c>
      <c r="L45" s="177" t="s">
        <v>1</v>
      </c>
      <c r="M45" s="177" t="s">
        <v>1</v>
      </c>
      <c r="N45" s="177" t="s">
        <v>1</v>
      </c>
      <c r="O45" s="178" t="s">
        <v>1</v>
      </c>
      <c r="P45" s="180">
        <v>157219941677</v>
      </c>
      <c r="Q45" s="180">
        <v>89977214789</v>
      </c>
      <c r="R45" s="180">
        <v>76753405072</v>
      </c>
      <c r="S45" s="180">
        <v>76753405072</v>
      </c>
    </row>
    <row r="46" spans="1:19" x14ac:dyDescent="0.25">
      <c r="P46" s="167"/>
      <c r="Q46" s="131"/>
      <c r="R46" s="121"/>
    </row>
    <row r="47" spans="1:19" x14ac:dyDescent="0.25">
      <c r="P47" s="166"/>
      <c r="Q47" s="130"/>
      <c r="R47" s="130"/>
      <c r="S47" s="130"/>
    </row>
    <row r="48" spans="1:19" x14ac:dyDescent="0.25">
      <c r="P48" s="131"/>
      <c r="Q48" s="131"/>
      <c r="R48" s="131"/>
      <c r="S48" s="131"/>
    </row>
    <row r="49" spans="16:19" x14ac:dyDescent="0.25">
      <c r="P49" s="131"/>
      <c r="Q49" s="131"/>
      <c r="R49" s="131"/>
      <c r="S49" s="131"/>
    </row>
  </sheetData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4"/>
  <sheetViews>
    <sheetView topLeftCell="I45" zoomScale="80" zoomScaleNormal="80" workbookViewId="0">
      <pane ySplit="3" topLeftCell="A48" activePane="bottomLeft" state="frozen"/>
      <selection activeCell="U48" sqref="U48"/>
      <selection pane="bottomLeft" activeCell="O101" sqref="O101"/>
    </sheetView>
  </sheetViews>
  <sheetFormatPr baseColWidth="10" defaultRowHeight="15" outlineLevelRow="1" x14ac:dyDescent="0.25"/>
  <cols>
    <col min="1" max="1" width="6.5703125" style="1" hidden="1" customWidth="1"/>
    <col min="2" max="2" width="12.7109375" style="1" hidden="1" customWidth="1"/>
    <col min="3" max="3" width="33.28515625" style="1" hidden="1" customWidth="1"/>
    <col min="4" max="4" width="19" style="1" hidden="1" customWidth="1"/>
    <col min="5" max="5" width="9.85546875" style="1" hidden="1" customWidth="1"/>
    <col min="6" max="6" width="44.5703125" style="1" customWidth="1"/>
    <col min="7" max="7" width="17.85546875" style="1" customWidth="1"/>
    <col min="8" max="8" width="22" style="1" customWidth="1"/>
    <col min="9" max="9" width="9" style="1" customWidth="1"/>
    <col min="10" max="11" width="15.85546875" style="1" customWidth="1"/>
    <col min="12" max="12" width="14.28515625" style="1" customWidth="1"/>
    <col min="13" max="13" width="13.7109375" style="1" customWidth="1"/>
    <col min="14" max="14" width="17" style="1" customWidth="1"/>
    <col min="15" max="15" width="14.28515625" style="1" customWidth="1"/>
    <col min="16" max="16" width="16.140625" style="1" customWidth="1"/>
    <col min="17" max="17" width="18" style="1" customWidth="1"/>
    <col min="18" max="18" width="8.140625" style="1" customWidth="1"/>
    <col min="19" max="19" width="16.42578125" style="1" customWidth="1"/>
    <col min="20" max="20" width="8.140625" style="1" customWidth="1"/>
    <col min="21" max="21" width="16.140625" style="1" customWidth="1"/>
    <col min="22" max="22" width="9.140625" style="1" customWidth="1"/>
    <col min="23" max="23" width="14.28515625" style="1" customWidth="1"/>
    <col min="24" max="24" width="9.7109375" style="1" customWidth="1"/>
    <col min="25" max="25" width="20.42578125" style="1" customWidth="1"/>
    <col min="26" max="26" width="15.7109375" style="1" customWidth="1"/>
    <col min="27" max="27" width="14.28515625" style="1" customWidth="1"/>
    <col min="28" max="28" width="20" style="1" customWidth="1"/>
    <col min="29" max="29" width="21.42578125" style="1" customWidth="1"/>
    <col min="30" max="30" width="3" style="109" customWidth="1"/>
    <col min="31" max="31" width="0" style="1" hidden="1" customWidth="1"/>
    <col min="32" max="16384" width="11.42578125" style="1"/>
  </cols>
  <sheetData>
    <row r="1" spans="1:6" ht="41.25" hidden="1" customHeight="1" x14ac:dyDescent="0.25">
      <c r="A1" s="216" t="s">
        <v>196</v>
      </c>
      <c r="B1" s="216"/>
      <c r="C1" s="216"/>
      <c r="D1" s="216"/>
      <c r="E1" s="84"/>
      <c r="F1" s="217" t="str">
        <f>'[3]SIIF Ejecución Agosto 31'!C2</f>
        <v>REPORTE  PRESUPUESTAL  SIIF 
Agosto  31 de 2015. Hora 5:00 pm</v>
      </c>
    </row>
    <row r="2" spans="1:6" ht="36" hidden="1" customHeight="1" x14ac:dyDescent="0.25">
      <c r="A2" s="216"/>
      <c r="B2" s="216"/>
      <c r="C2" s="216"/>
      <c r="D2" s="216"/>
      <c r="E2" s="84"/>
      <c r="F2" s="217"/>
    </row>
    <row r="3" spans="1:6" ht="40.5" hidden="1" customHeight="1" x14ac:dyDescent="0.25">
      <c r="A3" s="9"/>
      <c r="B3" s="10"/>
      <c r="C3" s="11" t="s">
        <v>212</v>
      </c>
      <c r="D3" s="11" t="s">
        <v>174</v>
      </c>
      <c r="E3" s="72"/>
      <c r="F3" s="6">
        <f>SUM(F4:F32)</f>
        <v>774659.3072230001</v>
      </c>
    </row>
    <row r="4" spans="1:6" ht="60" hidden="1" customHeight="1" x14ac:dyDescent="0.25">
      <c r="A4" s="2">
        <v>1</v>
      </c>
      <c r="B4" s="27">
        <v>111608106</v>
      </c>
      <c r="C4" s="73" t="s">
        <v>213</v>
      </c>
      <c r="D4" s="28" t="s">
        <v>84</v>
      </c>
      <c r="E4" s="74"/>
      <c r="F4" s="12">
        <f>+'[3]Ejecucion Agosto 31'!H27+'[3]Ejecucion Agosto 31'!H28+'[3]Ejecucion Agosto 31'!H29</f>
        <v>277743</v>
      </c>
    </row>
    <row r="5" spans="1:6" ht="75" hidden="1" customHeight="1" x14ac:dyDescent="0.25">
      <c r="A5" s="2">
        <v>2</v>
      </c>
      <c r="B5" s="27">
        <v>111608504</v>
      </c>
      <c r="C5" s="73" t="s">
        <v>213</v>
      </c>
      <c r="D5" s="28" t="s">
        <v>214</v>
      </c>
      <c r="E5" s="85"/>
      <c r="F5" s="13">
        <f>+'[3]Ejecucion Agosto 31'!H30</f>
        <v>9953</v>
      </c>
    </row>
    <row r="6" spans="1:6" ht="75" hidden="1" customHeight="1" x14ac:dyDescent="0.25">
      <c r="A6" s="2">
        <v>3</v>
      </c>
      <c r="B6" s="27">
        <v>111608505</v>
      </c>
      <c r="C6" s="73" t="s">
        <v>213</v>
      </c>
      <c r="D6" s="28" t="s">
        <v>175</v>
      </c>
      <c r="E6" s="85"/>
      <c r="F6" s="13">
        <f>+'[3]Ejecucion Agosto 31'!H31+'[3]Ejecucion Agosto 31'!H32</f>
        <v>80129</v>
      </c>
    </row>
    <row r="7" spans="1:6" ht="75" hidden="1" customHeight="1" x14ac:dyDescent="0.25">
      <c r="A7" s="2">
        <v>4</v>
      </c>
      <c r="B7" s="27">
        <v>112608001</v>
      </c>
      <c r="C7" s="75" t="s">
        <v>215</v>
      </c>
      <c r="D7" s="28" t="s">
        <v>176</v>
      </c>
      <c r="E7" s="85"/>
      <c r="F7" s="13">
        <f>'[3]Ejecucion Agosto 31'!H33</f>
        <v>8000</v>
      </c>
    </row>
    <row r="8" spans="1:6" ht="75" hidden="1" customHeight="1" x14ac:dyDescent="0.25">
      <c r="A8" s="2">
        <v>5</v>
      </c>
      <c r="B8" s="27">
        <v>113608002</v>
      </c>
      <c r="C8" s="73" t="s">
        <v>213</v>
      </c>
      <c r="D8" s="28" t="s">
        <v>177</v>
      </c>
      <c r="E8" s="85"/>
      <c r="F8" s="13">
        <f>'[3]Ejecucion Agosto 31'!H34</f>
        <v>6726</v>
      </c>
    </row>
    <row r="9" spans="1:6" ht="75" hidden="1" customHeight="1" x14ac:dyDescent="0.25">
      <c r="A9" s="2">
        <v>6</v>
      </c>
      <c r="B9" s="27">
        <v>113608003</v>
      </c>
      <c r="C9" s="73" t="s">
        <v>213</v>
      </c>
      <c r="D9" s="28" t="s">
        <v>96</v>
      </c>
      <c r="E9" s="85"/>
      <c r="F9" s="13">
        <f>'[3]Ejecucion Agosto 31'!H35+'[3]Ejecucion Agosto 31'!H36+'[3]Ejecucion Agosto 31'!H37</f>
        <v>124920.3364</v>
      </c>
    </row>
    <row r="10" spans="1:6" ht="27.75" hidden="1" customHeight="1" x14ac:dyDescent="0.25">
      <c r="A10" s="2">
        <v>7</v>
      </c>
      <c r="B10" s="27">
        <v>113608119</v>
      </c>
      <c r="C10" s="73" t="s">
        <v>213</v>
      </c>
      <c r="D10" s="28" t="s">
        <v>178</v>
      </c>
      <c r="E10" s="85"/>
      <c r="F10" s="13">
        <f>'[3]Ejecucion Agosto 31'!H38</f>
        <v>7670.7308229999999</v>
      </c>
    </row>
    <row r="11" spans="1:6" ht="25.5" hidden="1" customHeight="1" x14ac:dyDescent="0.25">
      <c r="A11" s="2">
        <v>8</v>
      </c>
      <c r="B11" s="27">
        <v>113608129</v>
      </c>
      <c r="C11" s="73" t="s">
        <v>213</v>
      </c>
      <c r="D11" s="28" t="s">
        <v>216</v>
      </c>
      <c r="E11" s="85"/>
      <c r="F11" s="13">
        <f>'[3]Ejecucion Agosto 31'!H39</f>
        <v>30000</v>
      </c>
    </row>
    <row r="12" spans="1:6" ht="90" hidden="1" customHeight="1" x14ac:dyDescent="0.25">
      <c r="A12" s="2">
        <v>9</v>
      </c>
      <c r="B12" s="27">
        <v>123608001</v>
      </c>
      <c r="C12" s="73" t="s">
        <v>213</v>
      </c>
      <c r="D12" s="28" t="s">
        <v>179</v>
      </c>
      <c r="E12" s="85"/>
      <c r="F12" s="13">
        <f>'[3]Ejecucion Agosto 31'!H40</f>
        <v>5238</v>
      </c>
    </row>
    <row r="13" spans="1:6" ht="22.5" hidden="1" customHeight="1" x14ac:dyDescent="0.25">
      <c r="A13" s="2">
        <v>10</v>
      </c>
      <c r="B13" s="3">
        <v>213608001</v>
      </c>
      <c r="C13" s="75" t="s">
        <v>217</v>
      </c>
      <c r="D13" s="4" t="s">
        <v>180</v>
      </c>
      <c r="E13" s="76"/>
      <c r="F13" s="13">
        <f>'[3]Ejecucion Agosto 31'!H41</f>
        <v>8100</v>
      </c>
    </row>
    <row r="14" spans="1:6" ht="76.5" hidden="1" customHeight="1" x14ac:dyDescent="0.25">
      <c r="A14" s="2">
        <v>11</v>
      </c>
      <c r="B14" s="3">
        <v>213608002</v>
      </c>
      <c r="C14" s="75" t="s">
        <v>218</v>
      </c>
      <c r="D14" s="14" t="s">
        <v>107</v>
      </c>
      <c r="E14" s="77"/>
      <c r="F14" s="13">
        <f>'[3]Ejecucion Agosto 31'!H42</f>
        <v>7180</v>
      </c>
    </row>
    <row r="15" spans="1:6" ht="76.5" hidden="1" customHeight="1" x14ac:dyDescent="0.25">
      <c r="A15" s="2">
        <v>12</v>
      </c>
      <c r="B15" s="3">
        <v>213608003</v>
      </c>
      <c r="C15" s="75" t="s">
        <v>218</v>
      </c>
      <c r="D15" s="14" t="s">
        <v>109</v>
      </c>
      <c r="E15" s="77"/>
      <c r="F15" s="13">
        <f>'[3]Ejecucion Agosto 31'!H43</f>
        <v>3000</v>
      </c>
    </row>
    <row r="16" spans="1:6" ht="89.25" hidden="1" customHeight="1" x14ac:dyDescent="0.25">
      <c r="A16" s="2">
        <v>13</v>
      </c>
      <c r="B16" s="3">
        <v>213608004</v>
      </c>
      <c r="C16" s="75" t="s">
        <v>217</v>
      </c>
      <c r="D16" s="14" t="s">
        <v>181</v>
      </c>
      <c r="E16" s="77"/>
      <c r="F16" s="13">
        <f>'[3]Ejecucion Agosto 31'!H44</f>
        <v>5739.24</v>
      </c>
    </row>
    <row r="17" spans="1:6" ht="63.75" hidden="1" customHeight="1" x14ac:dyDescent="0.25">
      <c r="A17" s="2">
        <v>14</v>
      </c>
      <c r="B17" s="3">
        <v>213608005</v>
      </c>
      <c r="C17" s="75" t="s">
        <v>217</v>
      </c>
      <c r="D17" s="4" t="s">
        <v>113</v>
      </c>
      <c r="E17" s="76"/>
      <c r="F17" s="13">
        <f>'[3]Ejecucion Agosto 31'!H45+'[3]Ejecucion Agosto 31'!H46</f>
        <v>10745</v>
      </c>
    </row>
    <row r="18" spans="1:6" ht="63.75" hidden="1" customHeight="1" x14ac:dyDescent="0.25">
      <c r="A18" s="2">
        <v>15</v>
      </c>
      <c r="B18" s="3">
        <v>213608006</v>
      </c>
      <c r="C18" s="75" t="s">
        <v>217</v>
      </c>
      <c r="D18" s="4" t="s">
        <v>115</v>
      </c>
      <c r="E18" s="76"/>
      <c r="F18" s="13">
        <f>'[3]Ejecucion Agosto 31'!H47+'[3]Ejecucion Agosto 31'!H48</f>
        <v>23923</v>
      </c>
    </row>
    <row r="19" spans="1:6" ht="63.75" hidden="1" customHeight="1" x14ac:dyDescent="0.25">
      <c r="A19" s="2">
        <v>16</v>
      </c>
      <c r="B19" s="3">
        <v>213608007</v>
      </c>
      <c r="C19" s="75" t="s">
        <v>217</v>
      </c>
      <c r="D19" s="4" t="s">
        <v>117</v>
      </c>
      <c r="E19" s="76"/>
      <c r="F19" s="13">
        <f>'[3]Ejecucion Agosto 31'!H49</f>
        <v>2189</v>
      </c>
    </row>
    <row r="20" spans="1:6" ht="63.75" hidden="1" customHeight="1" x14ac:dyDescent="0.25">
      <c r="A20" s="2">
        <v>17</v>
      </c>
      <c r="B20" s="3">
        <v>213608008</v>
      </c>
      <c r="C20" s="75" t="s">
        <v>218</v>
      </c>
      <c r="D20" s="4" t="s">
        <v>120</v>
      </c>
      <c r="E20" s="76"/>
      <c r="F20" s="13">
        <f>'[3]Ejecucion Agosto 31'!H50</f>
        <v>200</v>
      </c>
    </row>
    <row r="21" spans="1:6" ht="38.25" hidden="1" customHeight="1" x14ac:dyDescent="0.25">
      <c r="A21" s="2">
        <v>18</v>
      </c>
      <c r="B21" s="3">
        <v>213608009</v>
      </c>
      <c r="C21" s="75" t="s">
        <v>217</v>
      </c>
      <c r="D21" s="4" t="s">
        <v>182</v>
      </c>
      <c r="E21" s="76"/>
      <c r="F21" s="13">
        <f>'[3]Ejecucion Agosto 31'!H51+'[3]Ejecucion Agosto 31'!H52</f>
        <v>16000</v>
      </c>
    </row>
    <row r="22" spans="1:6" ht="89.25" hidden="1" customHeight="1" x14ac:dyDescent="0.25">
      <c r="A22" s="2">
        <v>19</v>
      </c>
      <c r="B22" s="3">
        <v>213608010</v>
      </c>
      <c r="C22" s="75" t="s">
        <v>217</v>
      </c>
      <c r="D22" s="4" t="s">
        <v>183</v>
      </c>
      <c r="E22" s="76"/>
      <c r="F22" s="13">
        <f>'[3]Ejecucion Agosto 31'!H53+'[3]Ejecucion Agosto 31'!H54</f>
        <v>14150</v>
      </c>
    </row>
    <row r="23" spans="1:6" ht="63.75" hidden="1" customHeight="1" x14ac:dyDescent="0.25">
      <c r="A23" s="2">
        <v>20</v>
      </c>
      <c r="B23" s="3">
        <v>213608011</v>
      </c>
      <c r="C23" s="75" t="s">
        <v>217</v>
      </c>
      <c r="D23" s="4" t="s">
        <v>184</v>
      </c>
      <c r="E23" s="76"/>
      <c r="F23" s="13">
        <f>'[3]Ejecucion Agosto 31'!H55+'[3]Ejecucion Agosto 31'!H56</f>
        <v>18700</v>
      </c>
    </row>
    <row r="24" spans="1:6" ht="63.75" hidden="1" customHeight="1" x14ac:dyDescent="0.25">
      <c r="A24" s="2">
        <v>21</v>
      </c>
      <c r="B24" s="3">
        <v>213608012</v>
      </c>
      <c r="C24" s="75" t="s">
        <v>217</v>
      </c>
      <c r="D24" s="4" t="s">
        <v>185</v>
      </c>
      <c r="E24" s="76"/>
      <c r="F24" s="13">
        <f>'[3]Ejecucion Agosto 31'!H57</f>
        <v>8817</v>
      </c>
    </row>
    <row r="25" spans="1:6" ht="21" hidden="1" customHeight="1" x14ac:dyDescent="0.25">
      <c r="A25" s="2">
        <v>22</v>
      </c>
      <c r="B25" s="3">
        <v>213608013</v>
      </c>
      <c r="C25" s="75" t="s">
        <v>219</v>
      </c>
      <c r="D25" s="4" t="s">
        <v>132</v>
      </c>
      <c r="E25" s="76"/>
      <c r="F25" s="13">
        <f>'[3]Ejecucion Agosto 31'!H58</f>
        <v>3200</v>
      </c>
    </row>
    <row r="26" spans="1:6" ht="63.75" hidden="1" customHeight="1" x14ac:dyDescent="0.25">
      <c r="A26" s="2">
        <v>23</v>
      </c>
      <c r="B26" s="3">
        <v>213608014</v>
      </c>
      <c r="C26" s="75" t="s">
        <v>218</v>
      </c>
      <c r="D26" s="4" t="s">
        <v>135</v>
      </c>
      <c r="E26" s="76"/>
      <c r="F26" s="13">
        <f>'[3]Ejecucion Agosto 31'!H59</f>
        <v>2447</v>
      </c>
    </row>
    <row r="27" spans="1:6" ht="102" hidden="1" customHeight="1" x14ac:dyDescent="0.25">
      <c r="A27" s="2">
        <v>24</v>
      </c>
      <c r="B27" s="3">
        <v>213608015</v>
      </c>
      <c r="C27" s="75" t="s">
        <v>217</v>
      </c>
      <c r="D27" s="4" t="s">
        <v>186</v>
      </c>
      <c r="E27" s="76"/>
      <c r="F27" s="13">
        <f>'[3]Ejecucion Agosto 31'!H60</f>
        <v>1200</v>
      </c>
    </row>
    <row r="28" spans="1:6" ht="76.5" hidden="1" customHeight="1" x14ac:dyDescent="0.25">
      <c r="A28" s="2">
        <v>25</v>
      </c>
      <c r="B28" s="3">
        <v>213608016</v>
      </c>
      <c r="C28" s="75" t="s">
        <v>217</v>
      </c>
      <c r="D28" s="4" t="s">
        <v>187</v>
      </c>
      <c r="E28" s="76"/>
      <c r="F28" s="13">
        <f>'[3]Ejecucion Agosto 31'!H61+'[3]Ejecucion Agosto 31'!H62+'[3]Ejecucion Agosto 31'!H63</f>
        <v>44583</v>
      </c>
    </row>
    <row r="29" spans="1:6" ht="63.75" hidden="1" customHeight="1" x14ac:dyDescent="0.25">
      <c r="A29" s="2">
        <v>26</v>
      </c>
      <c r="B29" s="3">
        <v>213608018</v>
      </c>
      <c r="C29" s="75" t="s">
        <v>220</v>
      </c>
      <c r="D29" s="4" t="s">
        <v>144</v>
      </c>
      <c r="E29" s="76"/>
      <c r="F29" s="13">
        <f>'[3]Ejecucion Agosto 31'!H64</f>
        <v>9500</v>
      </c>
    </row>
    <row r="30" spans="1:6" ht="51" hidden="1" customHeight="1" x14ac:dyDescent="0.25">
      <c r="A30" s="2">
        <v>27</v>
      </c>
      <c r="B30" s="3">
        <v>213608019</v>
      </c>
      <c r="C30" s="75" t="s">
        <v>220</v>
      </c>
      <c r="D30" s="4" t="s">
        <v>147</v>
      </c>
      <c r="E30" s="76"/>
      <c r="F30" s="13">
        <f>VLOOKUP(B30,'[4]213'!$A$3:$C$458,3,0)/F34</f>
        <v>6642</v>
      </c>
    </row>
    <row r="31" spans="1:6" ht="24.75" hidden="1" customHeight="1" x14ac:dyDescent="0.25">
      <c r="A31" s="2">
        <v>28</v>
      </c>
      <c r="B31" s="3">
        <v>213608031</v>
      </c>
      <c r="C31" s="75" t="s">
        <v>218</v>
      </c>
      <c r="D31" s="4" t="s">
        <v>188</v>
      </c>
      <c r="E31" s="76"/>
      <c r="F31" s="13">
        <f>'[3]Ejecucion Agosto 31'!H66</f>
        <v>3140</v>
      </c>
    </row>
    <row r="32" spans="1:6" ht="23.25" hidden="1" customHeight="1" x14ac:dyDescent="0.25">
      <c r="A32" s="2">
        <v>29</v>
      </c>
      <c r="B32" s="3">
        <v>213608034</v>
      </c>
      <c r="C32" s="75" t="s">
        <v>218</v>
      </c>
      <c r="D32" s="4" t="s">
        <v>153</v>
      </c>
      <c r="E32" s="76"/>
      <c r="F32" s="13">
        <f>'[3]Ejecucion Agosto 31'!H67+'[3]Ejecucion Agosto 31'!H68</f>
        <v>34824</v>
      </c>
    </row>
    <row r="33" spans="1:31" s="18" customFormat="1" ht="15.75" hidden="1" customHeight="1" x14ac:dyDescent="0.25">
      <c r="A33" s="16"/>
      <c r="B33" s="17"/>
      <c r="C33" s="17"/>
      <c r="D33" s="7" t="s">
        <v>195</v>
      </c>
      <c r="E33" s="78"/>
      <c r="F33" s="15" t="e">
        <f>809415.207223+#REF!</f>
        <v>#REF!</v>
      </c>
      <c r="AD33" s="110"/>
    </row>
    <row r="34" spans="1:31" ht="9" hidden="1" customHeight="1" x14ac:dyDescent="0.25">
      <c r="B34" s="8"/>
      <c r="F34" s="5">
        <v>1000000</v>
      </c>
    </row>
    <row r="35" spans="1:31" ht="51" hidden="1" customHeight="1" x14ac:dyDescent="0.25">
      <c r="B35" s="1" t="s">
        <v>221</v>
      </c>
      <c r="C35" s="4" t="s">
        <v>222</v>
      </c>
      <c r="D35" s="4" t="s">
        <v>223</v>
      </c>
      <c r="E35" s="79"/>
      <c r="F35" s="19"/>
    </row>
    <row r="36" spans="1:31" ht="25.5" hidden="1" customHeight="1" x14ac:dyDescent="0.25">
      <c r="B36" s="1" t="s">
        <v>224</v>
      </c>
      <c r="C36" s="4" t="s">
        <v>225</v>
      </c>
      <c r="D36" s="4" t="s">
        <v>226</v>
      </c>
      <c r="E36" s="79"/>
    </row>
    <row r="37" spans="1:31" ht="15" hidden="1" customHeight="1" x14ac:dyDescent="0.25">
      <c r="B37" s="1" t="s">
        <v>224</v>
      </c>
      <c r="C37" s="4" t="s">
        <v>225</v>
      </c>
      <c r="D37" s="4" t="s">
        <v>227</v>
      </c>
      <c r="E37" s="79"/>
    </row>
    <row r="38" spans="1:31" ht="25.5" hidden="1" customHeight="1" x14ac:dyDescent="0.25">
      <c r="B38" s="1" t="s">
        <v>224</v>
      </c>
      <c r="C38" s="4" t="s">
        <v>228</v>
      </c>
      <c r="D38" s="4" t="s">
        <v>229</v>
      </c>
      <c r="E38" s="79"/>
    </row>
    <row r="39" spans="1:31" ht="15" hidden="1" customHeight="1" x14ac:dyDescent="0.25">
      <c r="B39" s="1" t="s">
        <v>230</v>
      </c>
      <c r="C39" s="4" t="s">
        <v>222</v>
      </c>
      <c r="D39" s="4" t="s">
        <v>231</v>
      </c>
      <c r="E39" s="79"/>
    </row>
    <row r="40" spans="1:31" ht="25.5" hidden="1" customHeight="1" x14ac:dyDescent="0.25">
      <c r="B40" s="1" t="s">
        <v>230</v>
      </c>
      <c r="C40" s="4" t="s">
        <v>232</v>
      </c>
      <c r="D40" s="4" t="s">
        <v>233</v>
      </c>
      <c r="E40" s="79"/>
    </row>
    <row r="41" spans="1:31" ht="15" hidden="1" customHeight="1" x14ac:dyDescent="0.25"/>
    <row r="42" spans="1:31" ht="15" hidden="1" customHeight="1" x14ac:dyDescent="0.25">
      <c r="T42" s="86"/>
    </row>
    <row r="43" spans="1:31" ht="15" hidden="1" customHeight="1" x14ac:dyDescent="0.25"/>
    <row r="44" spans="1:31" ht="15" hidden="1" customHeight="1" x14ac:dyDescent="0.25"/>
    <row r="45" spans="1:31" ht="17.25" customHeight="1" x14ac:dyDescent="0.25">
      <c r="F45" s="5">
        <v>1000000</v>
      </c>
      <c r="G45" s="210" t="s">
        <v>257</v>
      </c>
      <c r="H45" s="211"/>
      <c r="I45" s="211"/>
      <c r="J45" s="211"/>
      <c r="K45" s="170"/>
      <c r="L45" s="170"/>
      <c r="M45" s="170"/>
      <c r="N45" s="210" t="s">
        <v>255</v>
      </c>
      <c r="O45" s="211"/>
      <c r="P45" s="211"/>
      <c r="Q45" s="211"/>
      <c r="R45" s="211"/>
      <c r="S45" s="211"/>
      <c r="T45" s="223"/>
      <c r="U45" s="210" t="s">
        <v>267</v>
      </c>
      <c r="V45" s="211"/>
      <c r="W45" s="211"/>
      <c r="X45" s="211"/>
      <c r="Y45" s="211"/>
      <c r="Z45" s="211"/>
      <c r="AA45" s="211"/>
      <c r="AB45" s="211" t="s">
        <v>258</v>
      </c>
      <c r="AC45" s="211"/>
    </row>
    <row r="46" spans="1:31" ht="35.25" customHeight="1" x14ac:dyDescent="0.25">
      <c r="E46" s="218" t="s">
        <v>234</v>
      </c>
      <c r="F46" s="218" t="s">
        <v>199</v>
      </c>
      <c r="G46" s="220" t="s">
        <v>254</v>
      </c>
      <c r="H46" s="222" t="str">
        <f>+Q46</f>
        <v xml:space="preserve">EJECUCION  PRESUPUESTAL  SIIF 
Cierre  Agosto 31  de 2016  </v>
      </c>
      <c r="I46" s="222"/>
      <c r="J46" s="222"/>
      <c r="K46" s="220" t="s">
        <v>268</v>
      </c>
      <c r="L46" s="220" t="s">
        <v>20</v>
      </c>
      <c r="M46" s="220" t="s">
        <v>21</v>
      </c>
      <c r="N46" s="220" t="s">
        <v>253</v>
      </c>
      <c r="O46" s="231" t="s">
        <v>265</v>
      </c>
      <c r="P46" s="229" t="s">
        <v>243</v>
      </c>
      <c r="Q46" s="222" t="str">
        <f>+'ejecucion OAP'!D78</f>
        <v xml:space="preserve">EJECUCION  PRESUPUESTAL  SIIF 
Cierre  Agosto 31  de 2016  </v>
      </c>
      <c r="R46" s="222"/>
      <c r="S46" s="222"/>
      <c r="T46" s="222"/>
      <c r="U46" s="212" t="s">
        <v>264</v>
      </c>
      <c r="V46" s="213"/>
      <c r="W46" s="213"/>
      <c r="X46" s="213"/>
      <c r="Y46" s="214" t="s">
        <v>266</v>
      </c>
      <c r="Z46" s="215"/>
      <c r="AA46" s="215"/>
      <c r="AB46" s="208" t="s">
        <v>256</v>
      </c>
      <c r="AC46" s="209"/>
    </row>
    <row r="47" spans="1:31" ht="51.75" customHeight="1" x14ac:dyDescent="0.25">
      <c r="C47" s="19"/>
      <c r="E47" s="219"/>
      <c r="F47" s="219"/>
      <c r="G47" s="221"/>
      <c r="H47" s="108" t="s">
        <v>241</v>
      </c>
      <c r="I47" s="117" t="s">
        <v>194</v>
      </c>
      <c r="J47" s="108" t="s">
        <v>29</v>
      </c>
      <c r="K47" s="221"/>
      <c r="L47" s="221"/>
      <c r="M47" s="221"/>
      <c r="N47" s="221"/>
      <c r="O47" s="221"/>
      <c r="P47" s="230"/>
      <c r="Q47" s="87" t="s">
        <v>168</v>
      </c>
      <c r="R47" s="87" t="s">
        <v>194</v>
      </c>
      <c r="S47" s="87" t="s">
        <v>169</v>
      </c>
      <c r="T47" s="87" t="s">
        <v>194</v>
      </c>
      <c r="U47" s="134" t="s">
        <v>168</v>
      </c>
      <c r="V47" s="134" t="s">
        <v>194</v>
      </c>
      <c r="W47" s="134" t="s">
        <v>169</v>
      </c>
      <c r="X47" s="136" t="s">
        <v>194</v>
      </c>
      <c r="Y47" s="156" t="s">
        <v>263</v>
      </c>
      <c r="Z47" s="159" t="s">
        <v>168</v>
      </c>
      <c r="AA47" s="159" t="s">
        <v>169</v>
      </c>
      <c r="AB47" s="157" t="s">
        <v>260</v>
      </c>
      <c r="AC47" s="138" t="s">
        <v>252</v>
      </c>
    </row>
    <row r="48" spans="1:31" ht="24.75" customHeight="1" x14ac:dyDescent="0.25">
      <c r="B48" s="59"/>
      <c r="C48" s="19"/>
      <c r="F48" s="88" t="s">
        <v>235</v>
      </c>
      <c r="G48" s="80">
        <f>SUM(G49:G57)</f>
        <v>135742.954685</v>
      </c>
      <c r="H48" s="80">
        <f>SUM(H49:H57)</f>
        <v>71925.091417000003</v>
      </c>
      <c r="I48" s="123">
        <f>+H48/G48</f>
        <v>0.52986242699598418</v>
      </c>
      <c r="J48" s="80">
        <f>SUM(J49:J57)</f>
        <v>61976.494988999999</v>
      </c>
      <c r="K48" s="80" t="e">
        <f>SUM(K49:K57)</f>
        <v>#REF!</v>
      </c>
      <c r="L48" s="80" t="e">
        <f t="shared" ref="L48:M48" si="0">SUM(L49:L57)</f>
        <v>#REF!</v>
      </c>
      <c r="M48" s="80" t="e">
        <f t="shared" si="0"/>
        <v>#REF!</v>
      </c>
      <c r="N48" s="80">
        <f>SUM(N49:N57)</f>
        <v>432629.57280499989</v>
      </c>
      <c r="O48" s="123">
        <f>+N48/N88</f>
        <v>0.71559274359231184</v>
      </c>
      <c r="P48" s="80" t="e">
        <f>SUM(P49:P57)</f>
        <v>#REF!</v>
      </c>
      <c r="Q48" s="80">
        <f>SUM(Q49:Q57)</f>
        <v>396544.7757440001</v>
      </c>
      <c r="R48" s="89">
        <f>+Q48/N48</f>
        <v>0.91659193145988571</v>
      </c>
      <c r="S48" s="80">
        <f>SUM(S49:S57)</f>
        <v>118648.870551</v>
      </c>
      <c r="T48" s="89">
        <f>+S48/N48</f>
        <v>0.27425048588733181</v>
      </c>
      <c r="U48" s="80">
        <f>SUM(U49:U57)</f>
        <v>421564.62518599996</v>
      </c>
      <c r="V48" s="113">
        <f>+U48/N48</f>
        <v>0.97442396841422751</v>
      </c>
      <c r="W48" s="80">
        <f>SUM(W49:W57)</f>
        <v>228553.8808918983</v>
      </c>
      <c r="X48" s="113">
        <f>+W48/N48</f>
        <v>0.52829000895626455</v>
      </c>
      <c r="Y48" s="80" t="e">
        <f t="shared" ref="Y48:AC48" si="1">SUM(Y49:Y57)</f>
        <v>#REF!</v>
      </c>
      <c r="Z48" s="158">
        <f>SUM(Z49:Z57)</f>
        <v>25019.849441999995</v>
      </c>
      <c r="AA48" s="158">
        <f t="shared" si="1"/>
        <v>109905.01034089831</v>
      </c>
      <c r="AB48" s="80">
        <f>SUM(AB49:AB57)</f>
        <v>63817.863267999994</v>
      </c>
      <c r="AC48" s="80">
        <f t="shared" si="1"/>
        <v>9948.5964280000026</v>
      </c>
      <c r="AE48" s="82"/>
    </row>
    <row r="49" spans="2:29" ht="27" hidden="1" customHeight="1" outlineLevel="1" thickBot="1" x14ac:dyDescent="0.3">
      <c r="B49" s="59"/>
      <c r="C49" s="19"/>
      <c r="E49" s="3">
        <v>111608106</v>
      </c>
      <c r="F49" s="154" t="s">
        <v>84</v>
      </c>
      <c r="G49" s="94">
        <f>(('RESERVAS '!P7+'RESERVAS '!P8+'RESERVAS '!P9))/1000000</f>
        <v>55887.608957999997</v>
      </c>
      <c r="H49" s="94">
        <f>(('RESERVAS '!Q7+'RESERVAS '!Q8+'RESERVAS '!Q9))/1000000</f>
        <v>15823.857013000001</v>
      </c>
      <c r="I49" s="93">
        <f>+H49/G49</f>
        <v>0.28313712660156493</v>
      </c>
      <c r="J49" s="94">
        <f>(('RESERVAS '!R7+'RESERVAS '!R8+'RESERVAS '!R9))/1000000</f>
        <v>8360.9529259999999</v>
      </c>
      <c r="K49" s="92" t="e">
        <f>'ejecucion OAP'!E26+'ejecucion OAP'!E27+'ejecucion OAP'!E28</f>
        <v>#REF!</v>
      </c>
      <c r="L49" s="92" t="e">
        <f>'ejecucion OAP'!F26+'ejecucion OAP'!F27+'ejecucion OAP'!F28</f>
        <v>#REF!</v>
      </c>
      <c r="M49" s="92" t="e">
        <f>'ejecucion OAP'!G26+'ejecucion OAP'!G27+'ejecucion OAP'!G28</f>
        <v>#REF!</v>
      </c>
      <c r="N49" s="92">
        <f>'ejecucion OAP'!H26+'ejecucion OAP'!H27+'ejecucion OAP'!H28</f>
        <v>269321.60502899997</v>
      </c>
      <c r="O49" s="93">
        <f>+N49/$N$48</f>
        <v>0.62252241168541644</v>
      </c>
      <c r="P49" s="92" t="e">
        <f>'ejecucion OAP'!I26+'ejecucion OAP'!I27+'ejecucion OAP'!I28</f>
        <v>#REF!</v>
      </c>
      <c r="Q49" s="94">
        <f>'ejecucion OAP'!N26+'ejecucion OAP'!N27+'ejecucion OAP'!N28</f>
        <v>266524.43578100001</v>
      </c>
      <c r="R49" s="93">
        <f>+Q49/N49</f>
        <v>0.98961401834918228</v>
      </c>
      <c r="S49" s="94">
        <f>'ejecucion OAP'!Q26+'ejecucion OAP'!Q27+'ejecucion OAP'!Q28</f>
        <v>82491.731230999998</v>
      </c>
      <c r="T49" s="93">
        <f>+S49/N49</f>
        <v>0.30629451811754005</v>
      </c>
      <c r="U49" s="94">
        <v>270234.80110899999</v>
      </c>
      <c r="V49" s="114">
        <f>+U49/N49</f>
        <v>1.0033907271564853</v>
      </c>
      <c r="W49" s="94">
        <v>142720.00283961999</v>
      </c>
      <c r="X49" s="114">
        <f>+W49/N49</f>
        <v>0.52992407654874996</v>
      </c>
      <c r="Y49" s="94" t="e">
        <f>'ejecucion OAP'!W26+'ejecucion OAP'!W27+'ejecucion OAP'!W28</f>
        <v>#REF!</v>
      </c>
      <c r="Z49" s="94">
        <f t="shared" ref="Z49:Z57" si="2">+U49-Q49</f>
        <v>3710.3653279999853</v>
      </c>
      <c r="AA49" s="94">
        <f>+W49-S49</f>
        <v>60228.271608619994</v>
      </c>
      <c r="AB49" s="94">
        <f t="shared" ref="AB49:AB57" si="3">(G49-H49)</f>
        <v>40063.751944999996</v>
      </c>
      <c r="AC49" s="150">
        <f t="shared" ref="AC49:AC57" si="4">(H49-J49)</f>
        <v>7462.9040870000008</v>
      </c>
    </row>
    <row r="50" spans="2:29" ht="31.5" hidden="1" customHeight="1" outlineLevel="1" thickBot="1" x14ac:dyDescent="0.3">
      <c r="B50" s="59"/>
      <c r="C50" s="19"/>
      <c r="E50" s="3">
        <v>111608504</v>
      </c>
      <c r="F50" s="154" t="s">
        <v>248</v>
      </c>
      <c r="G50" s="94">
        <f>(('RESERVAS '!P10))/1000000</f>
        <v>690.66608199999996</v>
      </c>
      <c r="H50" s="94">
        <f>(('RESERVAS '!Q10))/1000000</f>
        <v>349.32836500000002</v>
      </c>
      <c r="I50" s="93">
        <f t="shared" ref="I50:I57" si="5">+H50/G50</f>
        <v>0.50578474041816357</v>
      </c>
      <c r="J50" s="94">
        <f>(('RESERVAS '!R10))/1000000</f>
        <v>0</v>
      </c>
      <c r="K50" s="92"/>
      <c r="L50" s="92"/>
      <c r="M50" s="92"/>
      <c r="N50" s="92"/>
      <c r="O50" s="93">
        <f t="shared" ref="O50:O57" si="6">+N50/$N$48</f>
        <v>0</v>
      </c>
      <c r="P50" s="92"/>
      <c r="Q50" s="94"/>
      <c r="R50" s="93"/>
      <c r="S50" s="94"/>
      <c r="T50" s="93"/>
      <c r="U50" s="94"/>
      <c r="V50" s="114"/>
      <c r="W50" s="94"/>
      <c r="X50" s="114"/>
      <c r="Y50" s="94"/>
      <c r="Z50" s="94">
        <f t="shared" si="2"/>
        <v>0</v>
      </c>
      <c r="AA50" s="94"/>
      <c r="AB50" s="94">
        <f t="shared" si="3"/>
        <v>341.33771699999994</v>
      </c>
      <c r="AC50" s="150">
        <f t="shared" si="4"/>
        <v>349.32836500000002</v>
      </c>
    </row>
    <row r="51" spans="2:29" ht="22.5" hidden="1" customHeight="1" outlineLevel="1" thickBot="1" x14ac:dyDescent="0.3">
      <c r="B51" s="59"/>
      <c r="C51" s="19"/>
      <c r="E51" s="3">
        <v>111608505</v>
      </c>
      <c r="F51" s="91" t="s">
        <v>175</v>
      </c>
      <c r="G51" s="94">
        <f>(('RESERVAS '!P11+'RESERVAS '!P12))/1000000</f>
        <v>22465.942472999999</v>
      </c>
      <c r="H51" s="94">
        <f>(('RESERVAS '!Q11+'RESERVAS '!Q12))/1000000</f>
        <v>22465.942472999999</v>
      </c>
      <c r="I51" s="93">
        <f t="shared" si="5"/>
        <v>1</v>
      </c>
      <c r="J51" s="94">
        <f>(('RESERVAS '!R11+'RESERVAS '!R12))/1000000</f>
        <v>22465.942472999999</v>
      </c>
      <c r="K51" s="92" t="e">
        <f>'ejecucion OAP'!E29+'ejecucion OAP'!E30</f>
        <v>#REF!</v>
      </c>
      <c r="L51" s="92" t="e">
        <f>'ejecucion OAP'!F29+'ejecucion OAP'!F30</f>
        <v>#REF!</v>
      </c>
      <c r="M51" s="92" t="e">
        <f>'ejecucion OAP'!G29+'ejecucion OAP'!G30</f>
        <v>#REF!</v>
      </c>
      <c r="N51" s="92">
        <f>'ejecucion OAP'!H29+'ejecucion OAP'!H30</f>
        <v>58110.145731000004</v>
      </c>
      <c r="O51" s="93">
        <f t="shared" si="6"/>
        <v>0.13431847794000001</v>
      </c>
      <c r="P51" s="92" t="e">
        <f>'ejecucion OAP'!I29</f>
        <v>#REF!</v>
      </c>
      <c r="Q51" s="94">
        <f>'ejecucion OAP'!N29+'ejecucion OAP'!N30</f>
        <v>58110.145731000004</v>
      </c>
      <c r="R51" s="93">
        <f>+Q51/N51</f>
        <v>1</v>
      </c>
      <c r="S51" s="94">
        <f>'ejecucion OAP'!Q29+'ejecucion OAP'!Q30</f>
        <v>19474.417217999999</v>
      </c>
      <c r="T51" s="93">
        <f>+S51/N51</f>
        <v>0.33512938184925228</v>
      </c>
      <c r="U51" s="94">
        <v>57196.949651000003</v>
      </c>
      <c r="V51" s="114">
        <f>+U51/N51</f>
        <v>0.98428508363707579</v>
      </c>
      <c r="W51" s="94">
        <v>25923.249056121658</v>
      </c>
      <c r="X51" s="114">
        <f>+W51/N51</f>
        <v>0.44610538710613473</v>
      </c>
      <c r="Y51" s="94" t="e">
        <f>+'ejecucion OAP'!W29</f>
        <v>#REF!</v>
      </c>
      <c r="Z51" s="149">
        <f t="shared" si="2"/>
        <v>-913.19608000000153</v>
      </c>
      <c r="AA51" s="94">
        <f t="shared" ref="AA51:AA57" si="7">+W51-S51</f>
        <v>6448.8318381216595</v>
      </c>
      <c r="AB51" s="94">
        <f t="shared" si="3"/>
        <v>0</v>
      </c>
      <c r="AC51" s="92">
        <f t="shared" si="4"/>
        <v>0</v>
      </c>
    </row>
    <row r="52" spans="2:29" ht="39" hidden="1" customHeight="1" outlineLevel="1" thickBot="1" x14ac:dyDescent="0.3">
      <c r="B52" s="59"/>
      <c r="C52" s="19"/>
      <c r="E52" s="3">
        <v>113608002</v>
      </c>
      <c r="F52" s="91" t="s">
        <v>177</v>
      </c>
      <c r="G52" s="152"/>
      <c r="H52" s="94"/>
      <c r="I52" s="93"/>
      <c r="J52" s="94"/>
      <c r="K52" s="92" t="e">
        <f>'ejecucion OAP'!E32</f>
        <v>#REF!</v>
      </c>
      <c r="L52" s="92" t="e">
        <f>'ejecucion OAP'!F32</f>
        <v>#REF!</v>
      </c>
      <c r="M52" s="92" t="e">
        <f>'ejecucion OAP'!G32</f>
        <v>#REF!</v>
      </c>
      <c r="N52" s="92">
        <f>'ejecucion OAP'!H32</f>
        <v>5000</v>
      </c>
      <c r="O52" s="93">
        <f t="shared" si="6"/>
        <v>1.1557231207247271E-2</v>
      </c>
      <c r="P52" s="92" t="e">
        <f>'ejecucion OAP'!I32</f>
        <v>#REF!</v>
      </c>
      <c r="Q52" s="94">
        <f>'ejecucion OAP'!N32</f>
        <v>3470.656735</v>
      </c>
      <c r="R52" s="93">
        <f>+Q52/N52</f>
        <v>0.69413134700000001</v>
      </c>
      <c r="S52" s="94">
        <f>+'ejecucion OAP'!Q32</f>
        <v>3258.978486</v>
      </c>
      <c r="T52" s="93">
        <f>+S52/N52</f>
        <v>0.65179569719999997</v>
      </c>
      <c r="U52" s="94">
        <v>3500</v>
      </c>
      <c r="V52" s="114">
        <f>+U52/N52</f>
        <v>0.7</v>
      </c>
      <c r="W52" s="94">
        <v>3453</v>
      </c>
      <c r="X52" s="114">
        <f>+W52/N52</f>
        <v>0.69059999999999999</v>
      </c>
      <c r="Y52" s="94" t="e">
        <f>+'ejecucion OAP'!W32</f>
        <v>#REF!</v>
      </c>
      <c r="Z52" s="94">
        <f t="shared" si="2"/>
        <v>29.343264999999974</v>
      </c>
      <c r="AA52" s="94">
        <f t="shared" si="7"/>
        <v>194.02151400000002</v>
      </c>
      <c r="AB52" s="152">
        <f t="shared" si="3"/>
        <v>0</v>
      </c>
      <c r="AC52" s="150">
        <f t="shared" si="4"/>
        <v>0</v>
      </c>
    </row>
    <row r="53" spans="2:29" ht="34.5" hidden="1" customHeight="1" outlineLevel="1" thickBot="1" x14ac:dyDescent="0.3">
      <c r="B53" s="59"/>
      <c r="C53" s="19"/>
      <c r="E53" s="3">
        <v>113608003</v>
      </c>
      <c r="F53" s="91" t="s">
        <v>96</v>
      </c>
      <c r="G53" s="94">
        <f>(('RESERVAS '!P14+'RESERVAS '!P15+'RESERVAS '!P16))/1000000</f>
        <v>38383.441660999997</v>
      </c>
      <c r="H53" s="94">
        <f>(('RESERVAS '!Q14+'RESERVAS '!Q15+'RESERVAS '!Q16))/1000000</f>
        <v>21278.333030000002</v>
      </c>
      <c r="I53" s="93">
        <f t="shared" si="5"/>
        <v>0.55436230075272619</v>
      </c>
      <c r="J53" s="94">
        <f>(('RESERVAS '!R14+'RESERVAS '!R15+'RESERVAS '!R16))/1000000</f>
        <v>20844.571415999999</v>
      </c>
      <c r="K53" s="92" t="e">
        <f>'ejecucion OAP'!E33</f>
        <v>#REF!</v>
      </c>
      <c r="L53" s="92" t="e">
        <f>'ejecucion OAP'!F33</f>
        <v>#REF!</v>
      </c>
      <c r="M53" s="92" t="e">
        <f>'ejecucion OAP'!G33</f>
        <v>#REF!</v>
      </c>
      <c r="N53" s="92">
        <f>'ejecucion OAP'!H33</f>
        <v>79083.600808999996</v>
      </c>
      <c r="O53" s="93">
        <f t="shared" si="6"/>
        <v>0.18279749185025207</v>
      </c>
      <c r="P53" s="92" t="e">
        <f>'ejecucion OAP'!I33</f>
        <v>#REF!</v>
      </c>
      <c r="Q53" s="94">
        <f>'ejecucion OAP'!N33</f>
        <v>55236.366307999997</v>
      </c>
      <c r="R53" s="93">
        <f>+Q53/N53</f>
        <v>0.69845537814350378</v>
      </c>
      <c r="S53" s="94">
        <f>+'ejecucion OAP'!Q33</f>
        <v>9249.5366410000006</v>
      </c>
      <c r="T53" s="93">
        <f>+S53/N53</f>
        <v>0.11695897185232075</v>
      </c>
      <c r="U53" s="94">
        <f>74295.626052+1611</f>
        <v>75906.626052000007</v>
      </c>
      <c r="V53" s="114">
        <f>+U53/N53</f>
        <v>0.95982764157801936</v>
      </c>
      <c r="W53" s="94">
        <v>48324.001832540001</v>
      </c>
      <c r="X53" s="114">
        <f>+W53/N53</f>
        <v>0.61104958977842294</v>
      </c>
      <c r="Y53" s="94" t="e">
        <f>+'ejecucion OAP'!W33</f>
        <v>#REF!</v>
      </c>
      <c r="Z53" s="94">
        <f t="shared" si="2"/>
        <v>20670.25974400001</v>
      </c>
      <c r="AA53" s="94">
        <f t="shared" si="7"/>
        <v>39074.465191540003</v>
      </c>
      <c r="AB53" s="94">
        <f t="shared" si="3"/>
        <v>17105.108630999996</v>
      </c>
      <c r="AC53" s="92">
        <f t="shared" si="4"/>
        <v>433.76161400000274</v>
      </c>
    </row>
    <row r="54" spans="2:29" ht="31.5" hidden="1" customHeight="1" outlineLevel="1" thickBot="1" x14ac:dyDescent="0.3">
      <c r="B54" s="59"/>
      <c r="C54" s="19"/>
      <c r="E54" s="3">
        <v>113608119</v>
      </c>
      <c r="F54" s="91" t="s">
        <v>178</v>
      </c>
      <c r="G54" s="94">
        <f>(('RESERVAS '!P17))/1000000</f>
        <v>1151.5744</v>
      </c>
      <c r="H54" s="94">
        <f>(('RESERVAS '!Q17))/1000000</f>
        <v>1151.5744</v>
      </c>
      <c r="I54" s="93">
        <f t="shared" si="5"/>
        <v>1</v>
      </c>
      <c r="J54" s="94">
        <f>(('RESERVAS '!R17))/1000000</f>
        <v>1151.5744</v>
      </c>
      <c r="K54" s="92" t="e">
        <f>+'ejecucion OAP'!E34</f>
        <v>#REF!</v>
      </c>
      <c r="L54" s="92" t="e">
        <f>+'ejecucion OAP'!F34</f>
        <v>#REF!</v>
      </c>
      <c r="M54" s="92" t="e">
        <f>+'ejecucion OAP'!G34</f>
        <v>#REF!</v>
      </c>
      <c r="N54" s="92">
        <f>+'ejecucion OAP'!H34</f>
        <v>9860</v>
      </c>
      <c r="O54" s="93">
        <f t="shared" si="6"/>
        <v>2.2790859940691618E-2</v>
      </c>
      <c r="P54" s="92" t="e">
        <f>'ejecucion OAP'!I34</f>
        <v>#REF!</v>
      </c>
      <c r="Q54" s="94">
        <f>'ejecucion OAP'!N34</f>
        <v>7767.8406500000001</v>
      </c>
      <c r="R54" s="93">
        <f>+Q54/N54</f>
        <v>0.78781345334685604</v>
      </c>
      <c r="S54" s="94">
        <f>+'ejecucion OAP'!Q34</f>
        <v>3058.7087710000001</v>
      </c>
      <c r="T54" s="93">
        <f>+S54/N54</f>
        <v>0.31021387129817446</v>
      </c>
      <c r="U54" s="94">
        <v>8979.0176599999995</v>
      </c>
      <c r="V54" s="114">
        <f>+U54/N54</f>
        <v>0.91065087829614599</v>
      </c>
      <c r="W54" s="94">
        <v>4401.4128198999997</v>
      </c>
      <c r="X54" s="114">
        <f>+W54/N54</f>
        <v>0.44639075252535493</v>
      </c>
      <c r="Y54" s="94" t="e">
        <f>+'ejecucion OAP'!W34</f>
        <v>#REF!</v>
      </c>
      <c r="Z54" s="94">
        <f t="shared" si="2"/>
        <v>1211.1770099999994</v>
      </c>
      <c r="AA54" s="94">
        <f t="shared" si="7"/>
        <v>1342.7040488999996</v>
      </c>
      <c r="AB54" s="94">
        <f t="shared" si="3"/>
        <v>0</v>
      </c>
      <c r="AC54" s="92">
        <f t="shared" si="4"/>
        <v>0</v>
      </c>
    </row>
    <row r="55" spans="2:29" ht="26.25" hidden="1" customHeight="1" outlineLevel="1" thickBot="1" x14ac:dyDescent="0.3">
      <c r="B55" s="59"/>
      <c r="C55" s="19"/>
      <c r="E55" s="3">
        <v>113608129</v>
      </c>
      <c r="F55" s="91" t="s">
        <v>251</v>
      </c>
      <c r="G55" s="94">
        <f>(('RESERVAS '!P18))/1000000</f>
        <v>15793.435810000001</v>
      </c>
      <c r="H55" s="94">
        <f>(('RESERVAS '!Q18))/1000000</f>
        <v>9494.2810759999993</v>
      </c>
      <c r="I55" s="93">
        <f t="shared" si="5"/>
        <v>0.60115361788398591</v>
      </c>
      <c r="J55" s="94">
        <f>(('RESERVAS '!R18))/1000000</f>
        <v>7791.6787139999997</v>
      </c>
      <c r="K55" s="92" t="e">
        <f>'ejecucion OAP'!E35</f>
        <v>#REF!</v>
      </c>
      <c r="L55" s="92" t="e">
        <f>'ejecucion OAP'!F35</f>
        <v>#REF!</v>
      </c>
      <c r="M55" s="92" t="e">
        <f>'ejecucion OAP'!G35</f>
        <v>#REF!</v>
      </c>
      <c r="N55" s="92">
        <f>'ejecucion OAP'!H35</f>
        <v>3605.8093239999998</v>
      </c>
      <c r="O55" s="93">
        <f t="shared" si="6"/>
        <v>8.334634409343197E-3</v>
      </c>
      <c r="P55" s="92" t="e">
        <f>'ejecucion OAP'!I35</f>
        <v>#REF!</v>
      </c>
      <c r="Q55" s="94">
        <f>'ejecucion OAP'!N35</f>
        <v>2195.432726</v>
      </c>
      <c r="R55" s="93">
        <f>+Q55/N55</f>
        <v>0.60885990598209461</v>
      </c>
      <c r="S55" s="94">
        <f>'ejecucion OAP'!Q35</f>
        <v>0</v>
      </c>
      <c r="T55" s="93">
        <f>+S55/N55</f>
        <v>0</v>
      </c>
      <c r="U55" s="94"/>
      <c r="V55" s="114"/>
      <c r="W55" s="94"/>
      <c r="X55" s="114"/>
      <c r="Y55" s="94" t="e">
        <f>'ejecucion OAP'!W35</f>
        <v>#REF!</v>
      </c>
      <c r="Z55" s="94">
        <f t="shared" si="2"/>
        <v>-2195.432726</v>
      </c>
      <c r="AA55" s="94">
        <f t="shared" si="7"/>
        <v>0</v>
      </c>
      <c r="AB55" s="94">
        <f t="shared" si="3"/>
        <v>6299.1547340000016</v>
      </c>
      <c r="AC55" s="92">
        <f t="shared" si="4"/>
        <v>1702.6023619999996</v>
      </c>
    </row>
    <row r="56" spans="2:29" ht="22.5" hidden="1" customHeight="1" outlineLevel="1" thickBot="1" x14ac:dyDescent="0.3">
      <c r="B56" s="59"/>
      <c r="C56" s="19"/>
      <c r="E56" s="3">
        <v>123608001</v>
      </c>
      <c r="F56" s="91" t="s">
        <v>179</v>
      </c>
      <c r="G56" s="94">
        <f>(('RESERVAS '!P19))/1000000</f>
        <v>1204.140435</v>
      </c>
      <c r="H56" s="94">
        <f>(('RESERVAS '!Q19))/1000000</f>
        <v>1198.284312</v>
      </c>
      <c r="I56" s="93">
        <f t="shared" si="5"/>
        <v>0.99513667772480374</v>
      </c>
      <c r="J56" s="94">
        <f>(('RESERVAS '!R19))/1000000</f>
        <v>1198.284312</v>
      </c>
      <c r="K56" s="92" t="e">
        <f>'ejecucion OAP'!E36</f>
        <v>#REF!</v>
      </c>
      <c r="L56" s="92" t="e">
        <f>'ejecucion OAP'!F36</f>
        <v>#REF!</v>
      </c>
      <c r="M56" s="92" t="e">
        <f>'ejecucion OAP'!G36</f>
        <v>#REF!</v>
      </c>
      <c r="N56" s="92">
        <f>'ejecucion OAP'!H36</f>
        <v>5238</v>
      </c>
      <c r="O56" s="93">
        <f t="shared" si="6"/>
        <v>1.2107355412712241E-2</v>
      </c>
      <c r="P56" s="92" t="e">
        <f>'ejecucion OAP'!I36</f>
        <v>#REF!</v>
      </c>
      <c r="Q56" s="94">
        <f>'ejecucion OAP'!N36</f>
        <v>832.22431400000005</v>
      </c>
      <c r="R56" s="93">
        <f t="shared" ref="R56:R94" si="8">+Q56/N56</f>
        <v>0.1588820759831997</v>
      </c>
      <c r="S56" s="94">
        <f>+'ejecucion OAP'!Q36</f>
        <v>372.89282600000001</v>
      </c>
      <c r="T56" s="93">
        <f t="shared" ref="T56:T94" si="9">+S56/N56</f>
        <v>7.1189924780450553E-2</v>
      </c>
      <c r="U56" s="94">
        <v>3338</v>
      </c>
      <c r="V56" s="114">
        <f t="shared" ref="V56:V94" si="10">+U56/N56</f>
        <v>0.63726613211149297</v>
      </c>
      <c r="W56" s="94">
        <v>2163.2666666666669</v>
      </c>
      <c r="X56" s="114">
        <f t="shared" ref="X56:X93" si="11">+W56/N56</f>
        <v>0.41299478172330412</v>
      </c>
      <c r="Y56" s="94" t="e">
        <f>+'ejecucion OAP'!W36</f>
        <v>#REF!</v>
      </c>
      <c r="Z56" s="94">
        <f t="shared" si="2"/>
        <v>2505.775686</v>
      </c>
      <c r="AA56" s="94">
        <f t="shared" si="7"/>
        <v>1790.3738406666669</v>
      </c>
      <c r="AB56" s="94">
        <f t="shared" si="3"/>
        <v>5.8561230000000251</v>
      </c>
      <c r="AC56" s="150">
        <f t="shared" si="4"/>
        <v>0</v>
      </c>
    </row>
    <row r="57" spans="2:29" ht="23.25" hidden="1" customHeight="1" outlineLevel="1" thickBot="1" x14ac:dyDescent="0.3">
      <c r="B57" s="59"/>
      <c r="C57" s="19"/>
      <c r="E57" s="3">
        <v>450608001</v>
      </c>
      <c r="F57" s="91" t="s">
        <v>189</v>
      </c>
      <c r="G57" s="94">
        <f>(('RESERVAS '!P41))/1000000</f>
        <v>166.14486600000001</v>
      </c>
      <c r="H57" s="94">
        <f>(('RESERVAS '!Q41))/1000000</f>
        <v>163.490748</v>
      </c>
      <c r="I57" s="93">
        <f t="shared" si="5"/>
        <v>0.98402527827733177</v>
      </c>
      <c r="J57" s="94">
        <f>(('RESERVAS '!R41))/1000000</f>
        <v>163.490748</v>
      </c>
      <c r="K57" s="92" t="e">
        <f>'ejecucion OAP'!E62</f>
        <v>#REF!</v>
      </c>
      <c r="L57" s="92" t="e">
        <f>'ejecucion OAP'!F62</f>
        <v>#REF!</v>
      </c>
      <c r="M57" s="92" t="e">
        <f>'ejecucion OAP'!G62</f>
        <v>#REF!</v>
      </c>
      <c r="N57" s="92">
        <f>'ejecucion OAP'!H62</f>
        <v>2410.411912</v>
      </c>
      <c r="O57" s="93">
        <f t="shared" si="6"/>
        <v>5.5715375543373925E-3</v>
      </c>
      <c r="P57" s="92" t="e">
        <f>'ejecucion OAP'!I62</f>
        <v>#REF!</v>
      </c>
      <c r="Q57" s="94">
        <f>'ejecucion OAP'!N62</f>
        <v>2407.673499</v>
      </c>
      <c r="R57" s="93">
        <f t="shared" si="8"/>
        <v>0.9988639232214348</v>
      </c>
      <c r="S57" s="94">
        <f>+'ejecucion OAP'!Q62</f>
        <v>742.60537799999997</v>
      </c>
      <c r="T57" s="93">
        <f t="shared" si="9"/>
        <v>0.30808235484690882</v>
      </c>
      <c r="U57" s="94">
        <v>2409.2307139999998</v>
      </c>
      <c r="V57" s="114">
        <f t="shared" si="10"/>
        <v>0.99950996010510906</v>
      </c>
      <c r="W57" s="94">
        <v>1568.94767705</v>
      </c>
      <c r="X57" s="114">
        <f t="shared" si="11"/>
        <v>0.65090438245809668</v>
      </c>
      <c r="Y57" s="94" t="e">
        <f>+'ejecucion OAP'!W62</f>
        <v>#REF!</v>
      </c>
      <c r="Z57" s="94">
        <f t="shared" si="2"/>
        <v>1.5572149999998146</v>
      </c>
      <c r="AA57" s="94">
        <f t="shared" si="7"/>
        <v>826.34229905000007</v>
      </c>
      <c r="AB57" s="94">
        <f t="shared" si="3"/>
        <v>2.6541180000000111</v>
      </c>
      <c r="AC57" s="150">
        <f t="shared" si="4"/>
        <v>0</v>
      </c>
    </row>
    <row r="58" spans="2:29" ht="18.75" customHeight="1" collapsed="1" thickBot="1" x14ac:dyDescent="0.3">
      <c r="B58" s="59"/>
      <c r="C58" s="19"/>
      <c r="E58" s="81"/>
      <c r="F58" s="95" t="s">
        <v>236</v>
      </c>
      <c r="G58" s="80">
        <f>SUM(G59:G69)</f>
        <v>16423.475748000001</v>
      </c>
      <c r="H58" s="80">
        <f>SUM(H59:H69)</f>
        <v>13613.908056</v>
      </c>
      <c r="I58" s="123">
        <f>+H58/G58</f>
        <v>0.82892977496909315</v>
      </c>
      <c r="J58" s="80">
        <f>SUM(J59:J69)</f>
        <v>10586.215566999999</v>
      </c>
      <c r="K58" s="80" t="e">
        <f>SUM(K59:K69)</f>
        <v>#REF!</v>
      </c>
      <c r="L58" s="80" t="e">
        <f t="shared" ref="L58:M58" si="12">SUM(L59:L69)</f>
        <v>#REF!</v>
      </c>
      <c r="M58" s="80" t="e">
        <f t="shared" si="12"/>
        <v>#REF!</v>
      </c>
      <c r="N58" s="80">
        <f>SUM(N59:N69)</f>
        <v>86808.552752000003</v>
      </c>
      <c r="O58" s="123">
        <f>+N58/N88</f>
        <v>0.14358604759337826</v>
      </c>
      <c r="P58" s="80" t="e">
        <f>SUM(P59:P69)</f>
        <v>#REF!</v>
      </c>
      <c r="Q58" s="80">
        <f>SUM(Q59:Q69)</f>
        <v>61091.0386898</v>
      </c>
      <c r="R58" s="89">
        <f t="shared" si="8"/>
        <v>0.70374446702652238</v>
      </c>
      <c r="S58" s="80">
        <f>SUM(S59:S69)</f>
        <v>23367.179294799997</v>
      </c>
      <c r="T58" s="89">
        <f t="shared" si="9"/>
        <v>0.26918061128788529</v>
      </c>
      <c r="U58" s="80">
        <f>SUM(U59:U69)</f>
        <v>71321.006049489995</v>
      </c>
      <c r="V58" s="113">
        <f t="shared" si="10"/>
        <v>0.82158962208763253</v>
      </c>
      <c r="W58" s="80">
        <f>SUM(W59:W69)</f>
        <v>46214.781942000001</v>
      </c>
      <c r="X58" s="113">
        <f t="shared" si="11"/>
        <v>0.53237590625464315</v>
      </c>
      <c r="Y58" s="80" t="e">
        <f t="shared" ref="Y58:AC58" si="13">SUM(Y59:Y69)</f>
        <v>#REF!</v>
      </c>
      <c r="Z58" s="140">
        <f t="shared" si="13"/>
        <v>10229.967359689999</v>
      </c>
      <c r="AA58" s="141">
        <f t="shared" si="13"/>
        <v>22847.602647200001</v>
      </c>
      <c r="AB58" s="80">
        <f t="shared" si="13"/>
        <v>2809.5676919999996</v>
      </c>
      <c r="AC58" s="80">
        <f t="shared" si="13"/>
        <v>3027.6924890000009</v>
      </c>
    </row>
    <row r="59" spans="2:29" ht="39.75" hidden="1" customHeight="1" outlineLevel="1" thickBot="1" x14ac:dyDescent="0.3">
      <c r="B59" s="59"/>
      <c r="C59" s="19"/>
      <c r="E59" s="3">
        <v>213608001</v>
      </c>
      <c r="F59" s="91" t="s">
        <v>180</v>
      </c>
      <c r="G59" s="92">
        <f>('RESERVAS '!P20)/1000000</f>
        <v>433.52083299999998</v>
      </c>
      <c r="H59" s="92">
        <f>('RESERVAS '!Q20)/1000000</f>
        <v>433.52083299999998</v>
      </c>
      <c r="I59" s="93">
        <f>+H59/G59</f>
        <v>1</v>
      </c>
      <c r="J59" s="92">
        <f>('RESERVAS '!R20)/1000000</f>
        <v>433.52083299999998</v>
      </c>
      <c r="K59" s="92" t="e">
        <f>'ejecucion OAP'!E37</f>
        <v>#REF!</v>
      </c>
      <c r="L59" s="92" t="e">
        <f>'ejecucion OAP'!F37</f>
        <v>#REF!</v>
      </c>
      <c r="M59" s="92" t="e">
        <f>'ejecucion OAP'!G37</f>
        <v>#REF!</v>
      </c>
      <c r="N59" s="92">
        <f>'ejecucion OAP'!H37</f>
        <v>3820</v>
      </c>
      <c r="O59" s="93">
        <f>+N59/$N$58</f>
        <v>4.4004880612549896E-2</v>
      </c>
      <c r="P59" s="92" t="e">
        <f>'ejecucion OAP'!I37</f>
        <v>#REF!</v>
      </c>
      <c r="Q59" s="94">
        <f>'ejecucion OAP'!N37</f>
        <v>968.47149400000001</v>
      </c>
      <c r="R59" s="93">
        <f t="shared" si="8"/>
        <v>0.25352656910994764</v>
      </c>
      <c r="S59" s="94">
        <f>'ejecucion OAP'!Q37</f>
        <v>967.31479400000001</v>
      </c>
      <c r="T59" s="93">
        <f t="shared" si="9"/>
        <v>0.2532237680628272</v>
      </c>
      <c r="U59" s="94">
        <v>3656.7969937600001</v>
      </c>
      <c r="V59" s="114">
        <f t="shared" si="10"/>
        <v>0.95727669993717279</v>
      </c>
      <c r="W59" s="94">
        <v>1576.9</v>
      </c>
      <c r="X59" s="114">
        <f t="shared" si="11"/>
        <v>0.41280104712041887</v>
      </c>
      <c r="Y59" s="94" t="e">
        <f>'ejecucion OAP'!W37</f>
        <v>#REF!</v>
      </c>
      <c r="Z59" s="137">
        <f t="shared" ref="Z59:Z69" si="14">+U59-Q59</f>
        <v>2688.3254997600002</v>
      </c>
      <c r="AA59" s="137">
        <f t="shared" ref="AA59:AA69" si="15">+W59-S59</f>
        <v>609.58520600000008</v>
      </c>
      <c r="AB59" s="94">
        <f t="shared" ref="AB59:AB69" si="16">(G59-H59)</f>
        <v>0</v>
      </c>
      <c r="AC59" s="94">
        <f t="shared" ref="AC59:AC69" si="17">(H59-J59)</f>
        <v>0</v>
      </c>
    </row>
    <row r="60" spans="2:29" ht="26.25" hidden="1" customHeight="1" outlineLevel="1" thickBot="1" x14ac:dyDescent="0.3">
      <c r="B60" s="59"/>
      <c r="C60" s="19"/>
      <c r="E60" s="3">
        <v>213608004</v>
      </c>
      <c r="F60" s="91" t="s">
        <v>181</v>
      </c>
      <c r="G60" s="92">
        <f>('RESERVAS '!P23)/1000000</f>
        <v>402.93958400000002</v>
      </c>
      <c r="H60" s="92">
        <f>('RESERVAS '!Q23)/1000000</f>
        <v>401.223252</v>
      </c>
      <c r="I60" s="93">
        <f t="shared" ref="I60:I69" si="18">+H60/G60</f>
        <v>0.9957404730928594</v>
      </c>
      <c r="J60" s="92">
        <f>('RESERVAS '!R23)/1000000</f>
        <v>401.223252</v>
      </c>
      <c r="K60" s="92" t="e">
        <f>'ejecucion OAP'!E40</f>
        <v>#REF!</v>
      </c>
      <c r="L60" s="92" t="e">
        <f>'ejecucion OAP'!F40</f>
        <v>#REF!</v>
      </c>
      <c r="M60" s="92" t="e">
        <f>'ejecucion OAP'!G40</f>
        <v>#REF!</v>
      </c>
      <c r="N60" s="92">
        <f>'ejecucion OAP'!H40</f>
        <v>5200</v>
      </c>
      <c r="O60" s="93">
        <f t="shared" ref="O60:O69" si="19">+N60/$N$58</f>
        <v>5.9901931723889912E-2</v>
      </c>
      <c r="P60" s="92" t="e">
        <f>'ejecucion OAP'!I40</f>
        <v>#REF!</v>
      </c>
      <c r="Q60" s="94">
        <f>'ejecucion OAP'!N40</f>
        <v>2385.6529089999999</v>
      </c>
      <c r="R60" s="93">
        <f t="shared" si="8"/>
        <v>0.45877940557692304</v>
      </c>
      <c r="S60" s="94">
        <f>'ejecucion OAP'!Q40</f>
        <v>2308.4729889999999</v>
      </c>
      <c r="T60" s="93">
        <f t="shared" si="9"/>
        <v>0.44393711326923074</v>
      </c>
      <c r="U60" s="94">
        <v>4470.7312768000002</v>
      </c>
      <c r="V60" s="114">
        <f t="shared" si="10"/>
        <v>0.8597560147692308</v>
      </c>
      <c r="W60" s="94">
        <v>3311.4</v>
      </c>
      <c r="X60" s="114">
        <f t="shared" si="11"/>
        <v>0.6368076923076923</v>
      </c>
      <c r="Y60" s="94" t="e">
        <f>'ejecucion OAP'!W40</f>
        <v>#REF!</v>
      </c>
      <c r="Z60" s="137">
        <f t="shared" si="14"/>
        <v>2085.0783678000003</v>
      </c>
      <c r="AA60" s="137">
        <f t="shared" si="15"/>
        <v>1002.9270110000002</v>
      </c>
      <c r="AB60" s="94">
        <f t="shared" si="16"/>
        <v>1.7163320000000226</v>
      </c>
      <c r="AC60" s="152">
        <f t="shared" si="17"/>
        <v>0</v>
      </c>
    </row>
    <row r="61" spans="2:29" ht="29.25" hidden="1" customHeight="1" outlineLevel="1" thickBot="1" x14ac:dyDescent="0.3">
      <c r="B61" s="59"/>
      <c r="C61" s="19"/>
      <c r="E61" s="3">
        <v>213608005</v>
      </c>
      <c r="F61" s="91" t="s">
        <v>113</v>
      </c>
      <c r="G61" s="150"/>
      <c r="H61" s="92"/>
      <c r="I61" s="93">
        <v>0</v>
      </c>
      <c r="J61" s="92">
        <v>0</v>
      </c>
      <c r="K61" s="92" t="e">
        <f>'ejecucion OAP'!E41</f>
        <v>#REF!</v>
      </c>
      <c r="L61" s="92" t="e">
        <f>'ejecucion OAP'!F41</f>
        <v>#REF!</v>
      </c>
      <c r="M61" s="92" t="e">
        <f>'ejecucion OAP'!G41</f>
        <v>#REF!</v>
      </c>
      <c r="N61" s="92">
        <f>'ejecucion OAP'!H41</f>
        <v>5000</v>
      </c>
      <c r="O61" s="93">
        <f t="shared" si="19"/>
        <v>5.7598011272971067E-2</v>
      </c>
      <c r="P61" s="92" t="e">
        <f>'ejecucion OAP'!I41</f>
        <v>#REF!</v>
      </c>
      <c r="Q61" s="94">
        <f>'ejecucion OAP'!N41</f>
        <v>1804.321142</v>
      </c>
      <c r="R61" s="93">
        <f t="shared" si="8"/>
        <v>0.36086422839999999</v>
      </c>
      <c r="S61" s="94">
        <f>'ejecucion OAP'!Q41</f>
        <v>541.29634299999998</v>
      </c>
      <c r="T61" s="93">
        <f t="shared" si="9"/>
        <v>0.1082592686</v>
      </c>
      <c r="U61" s="94">
        <v>2000</v>
      </c>
      <c r="V61" s="114">
        <f t="shared" si="10"/>
        <v>0.4</v>
      </c>
      <c r="W61" s="94">
        <v>800</v>
      </c>
      <c r="X61" s="114">
        <f t="shared" si="11"/>
        <v>0.16</v>
      </c>
      <c r="Y61" s="94" t="e">
        <f>'ejecucion OAP'!W41</f>
        <v>#REF!</v>
      </c>
      <c r="Z61" s="137">
        <f t="shared" si="14"/>
        <v>195.67885799999999</v>
      </c>
      <c r="AA61" s="137">
        <f t="shared" si="15"/>
        <v>258.70365700000002</v>
      </c>
      <c r="AB61" s="94">
        <f t="shared" si="16"/>
        <v>0</v>
      </c>
      <c r="AC61" s="152">
        <f t="shared" si="17"/>
        <v>0</v>
      </c>
    </row>
    <row r="62" spans="2:29" ht="36" hidden="1" customHeight="1" outlineLevel="1" thickBot="1" x14ac:dyDescent="0.3">
      <c r="B62" s="59"/>
      <c r="C62" s="19"/>
      <c r="E62" s="3">
        <v>213608006</v>
      </c>
      <c r="F62" s="91" t="s">
        <v>115</v>
      </c>
      <c r="G62" s="92">
        <f>('RESERVAS '!P24+'RESERVAS '!P25)/1000000</f>
        <v>1976.0839269999999</v>
      </c>
      <c r="H62" s="92">
        <f>('RESERVAS '!Q24+'RESERVAS '!Q25)/1000000</f>
        <v>1168.0434319999999</v>
      </c>
      <c r="I62" s="93">
        <f t="shared" si="18"/>
        <v>0.59108999169547927</v>
      </c>
      <c r="J62" s="92">
        <f>('RESERVAS '!R24+'RESERVAS '!R25)/1000000</f>
        <v>1110.0370849999999</v>
      </c>
      <c r="K62" s="92" t="e">
        <f>'ejecucion OAP'!E42+'ejecucion OAP'!E43</f>
        <v>#REF!</v>
      </c>
      <c r="L62" s="92" t="e">
        <f>'ejecucion OAP'!F42+'ejecucion OAP'!F43</f>
        <v>#REF!</v>
      </c>
      <c r="M62" s="92" t="e">
        <f>'ejecucion OAP'!G42+'ejecucion OAP'!G43</f>
        <v>#REF!</v>
      </c>
      <c r="N62" s="92">
        <f>'ejecucion OAP'!H42+'ejecucion OAP'!H43</f>
        <v>19387.470809999999</v>
      </c>
      <c r="O62" s="93">
        <f t="shared" si="19"/>
        <v>0.22333595245375551</v>
      </c>
      <c r="P62" s="92" t="e">
        <f>'ejecucion OAP'!I42</f>
        <v>#REF!</v>
      </c>
      <c r="Q62" s="94">
        <f>'ejecucion OAP'!N42+'ejecucion OAP'!N43</f>
        <v>19387.470809999999</v>
      </c>
      <c r="R62" s="93">
        <f t="shared" si="8"/>
        <v>1</v>
      </c>
      <c r="S62" s="94">
        <f>'ejecucion OAP'!Q42+'ejecucion OAP'!Q43</f>
        <v>8375.3165969999991</v>
      </c>
      <c r="T62" s="93">
        <f t="shared" si="9"/>
        <v>0.43199634852216184</v>
      </c>
      <c r="U62" s="94">
        <v>19387.470809999999</v>
      </c>
      <c r="V62" s="114">
        <f t="shared" si="10"/>
        <v>1</v>
      </c>
      <c r="W62" s="94">
        <v>19387</v>
      </c>
      <c r="X62" s="114">
        <f t="shared" si="11"/>
        <v>0.9999757157596979</v>
      </c>
      <c r="Y62" s="94" t="e">
        <f>'ejecucion OAP'!W42+'ejecucion OAP'!W43</f>
        <v>#REF!</v>
      </c>
      <c r="Z62" s="137">
        <f t="shared" si="14"/>
        <v>0</v>
      </c>
      <c r="AA62" s="137">
        <f t="shared" si="15"/>
        <v>11011.683403000001</v>
      </c>
      <c r="AB62" s="94">
        <f t="shared" si="16"/>
        <v>808.04049499999996</v>
      </c>
      <c r="AC62" s="152">
        <f t="shared" si="17"/>
        <v>58.006347000000005</v>
      </c>
    </row>
    <row r="63" spans="2:29" ht="29.25" hidden="1" customHeight="1" outlineLevel="1" thickBot="1" x14ac:dyDescent="0.3">
      <c r="B63" s="59"/>
      <c r="C63" s="19"/>
      <c r="E63" s="3">
        <v>213608007</v>
      </c>
      <c r="F63" s="91" t="s">
        <v>117</v>
      </c>
      <c r="G63" s="150"/>
      <c r="H63" s="92"/>
      <c r="I63" s="93">
        <v>0</v>
      </c>
      <c r="J63" s="92">
        <v>0</v>
      </c>
      <c r="K63" s="92" t="e">
        <f>'ejecucion OAP'!E44</f>
        <v>#REF!</v>
      </c>
      <c r="L63" s="92" t="e">
        <f>'ejecucion OAP'!F44</f>
        <v>#REF!</v>
      </c>
      <c r="M63" s="92" t="e">
        <f>'ejecucion OAP'!G44</f>
        <v>#REF!</v>
      </c>
      <c r="N63" s="92">
        <f>'ejecucion OAP'!H44</f>
        <v>3200</v>
      </c>
      <c r="O63" s="93">
        <f t="shared" si="19"/>
        <v>3.6862727214701484E-2</v>
      </c>
      <c r="P63" s="92" t="e">
        <f>'ejecucion OAP'!I44</f>
        <v>#REF!</v>
      </c>
      <c r="Q63" s="94">
        <f>'ejecucion OAP'!N44</f>
        <v>2412.2306248</v>
      </c>
      <c r="R63" s="93">
        <f t="shared" si="8"/>
        <v>0.75382207025000003</v>
      </c>
      <c r="S63" s="94">
        <f>'ejecucion OAP'!Q44</f>
        <v>1354.5934468</v>
      </c>
      <c r="T63" s="93">
        <f t="shared" si="9"/>
        <v>0.42331045212500001</v>
      </c>
      <c r="U63" s="94">
        <v>2806.4</v>
      </c>
      <c r="V63" s="114">
        <f t="shared" si="10"/>
        <v>0.877</v>
      </c>
      <c r="W63" s="94">
        <v>985.6</v>
      </c>
      <c r="X63" s="114">
        <f t="shared" si="11"/>
        <v>0.308</v>
      </c>
      <c r="Y63" s="94" t="e">
        <f>'ejecucion OAP'!W44</f>
        <v>#REF!</v>
      </c>
      <c r="Z63" s="137">
        <f t="shared" si="14"/>
        <v>394.1693752000001</v>
      </c>
      <c r="AA63" s="149">
        <f t="shared" si="15"/>
        <v>-368.99344680000002</v>
      </c>
      <c r="AB63" s="152">
        <f t="shared" si="16"/>
        <v>0</v>
      </c>
      <c r="AC63" s="152">
        <f t="shared" si="17"/>
        <v>0</v>
      </c>
    </row>
    <row r="64" spans="2:29" ht="35.25" hidden="1" customHeight="1" outlineLevel="1" thickBot="1" x14ac:dyDescent="0.3">
      <c r="B64" s="59"/>
      <c r="C64" s="19"/>
      <c r="E64" s="3">
        <v>213608009</v>
      </c>
      <c r="F64" s="91" t="s">
        <v>182</v>
      </c>
      <c r="G64" s="150"/>
      <c r="H64" s="92"/>
      <c r="I64" s="93">
        <v>0</v>
      </c>
      <c r="J64" s="92">
        <v>0</v>
      </c>
      <c r="K64" s="92" t="e">
        <f>'ejecucion OAP'!E46</f>
        <v>#REF!</v>
      </c>
      <c r="L64" s="92" t="e">
        <f>'ejecucion OAP'!F46</f>
        <v>#REF!</v>
      </c>
      <c r="M64" s="92" t="e">
        <f>'ejecucion OAP'!G46</f>
        <v>#REF!</v>
      </c>
      <c r="N64" s="92">
        <f>'ejecucion OAP'!H46</f>
        <v>11000</v>
      </c>
      <c r="O64" s="93">
        <f t="shared" si="19"/>
        <v>0.12671562480053636</v>
      </c>
      <c r="P64" s="92" t="e">
        <f>'ejecucion OAP'!I46</f>
        <v>#REF!</v>
      </c>
      <c r="Q64" s="94">
        <f>'ejecucion OAP'!N46</f>
        <v>10654.10591</v>
      </c>
      <c r="R64" s="93">
        <f t="shared" si="8"/>
        <v>0.96855508272727275</v>
      </c>
      <c r="S64" s="94">
        <f>'ejecucion OAP'!Q46</f>
        <v>0</v>
      </c>
      <c r="T64" s="93">
        <f t="shared" si="9"/>
        <v>0</v>
      </c>
      <c r="U64" s="94">
        <v>10957.45502693</v>
      </c>
      <c r="V64" s="114">
        <f t="shared" si="10"/>
        <v>0.99613227517545455</v>
      </c>
      <c r="W64" s="94">
        <v>0</v>
      </c>
      <c r="X64" s="114">
        <f t="shared" si="11"/>
        <v>0</v>
      </c>
      <c r="Y64" s="94" t="e">
        <f>'ejecucion OAP'!W46</f>
        <v>#REF!</v>
      </c>
      <c r="Z64" s="137">
        <f t="shared" si="14"/>
        <v>303.34911692999958</v>
      </c>
      <c r="AA64" s="137">
        <f t="shared" si="15"/>
        <v>0</v>
      </c>
      <c r="AB64" s="152">
        <f t="shared" si="16"/>
        <v>0</v>
      </c>
      <c r="AC64" s="152">
        <f t="shared" si="17"/>
        <v>0</v>
      </c>
    </row>
    <row r="65" spans="2:34" ht="29.25" hidden="1" customHeight="1" outlineLevel="1" thickBot="1" x14ac:dyDescent="0.3">
      <c r="B65" s="59"/>
      <c r="C65" s="19"/>
      <c r="E65" s="3">
        <v>213608010</v>
      </c>
      <c r="F65" s="91" t="s">
        <v>183</v>
      </c>
      <c r="G65" s="92">
        <f>('RESERVAS '!P27+'RESERVAS '!P28)/1000000</f>
        <v>1677.703845</v>
      </c>
      <c r="H65" s="92">
        <f>('RESERVAS '!Q27+'RESERVAS '!Q28)/1000000</f>
        <v>1662.7172419999999</v>
      </c>
      <c r="I65" s="93">
        <f t="shared" si="18"/>
        <v>0.9910671939838106</v>
      </c>
      <c r="J65" s="92">
        <f>('RESERVAS '!R27+'RESERVAS '!R28)/1000000</f>
        <v>1159.207414</v>
      </c>
      <c r="K65" s="92" t="e">
        <f>'ejecucion OAP'!E47+'ejecucion OAP'!E48</f>
        <v>#REF!</v>
      </c>
      <c r="L65" s="92" t="e">
        <f>'ejecucion OAP'!F47+'ejecucion OAP'!F48</f>
        <v>#REF!</v>
      </c>
      <c r="M65" s="92" t="e">
        <f>'ejecucion OAP'!G47+'ejecucion OAP'!G48</f>
        <v>#REF!</v>
      </c>
      <c r="N65" s="92">
        <f>'ejecucion OAP'!H47+'ejecucion OAP'!H48</f>
        <v>9377.07</v>
      </c>
      <c r="O65" s="93">
        <f t="shared" si="19"/>
        <v>0.10802011671348777</v>
      </c>
      <c r="P65" s="92" t="e">
        <f>'ejecucion OAP'!I47+'ejecucion OAP'!I48</f>
        <v>#REF!</v>
      </c>
      <c r="Q65" s="94">
        <f>'ejecucion OAP'!N47+'ejecucion OAP'!N48</f>
        <v>6925.7818229999993</v>
      </c>
      <c r="R65" s="93">
        <f t="shared" si="8"/>
        <v>0.73858698111456988</v>
      </c>
      <c r="S65" s="94">
        <f>'ejecucion OAP'!Q47+'ejecucion OAP'!Q48</f>
        <v>4368.3050650000005</v>
      </c>
      <c r="T65" s="93">
        <f t="shared" si="9"/>
        <v>0.46584968065717763</v>
      </c>
      <c r="U65" s="94">
        <f>+N65</f>
        <v>9377.07</v>
      </c>
      <c r="V65" s="114">
        <f t="shared" si="10"/>
        <v>1</v>
      </c>
      <c r="W65" s="94">
        <v>2758.8</v>
      </c>
      <c r="X65" s="114">
        <f t="shared" si="11"/>
        <v>0.29420703908576989</v>
      </c>
      <c r="Y65" s="94" t="e">
        <f>'ejecucion OAP'!W47+'ejecucion OAP'!W48</f>
        <v>#REF!</v>
      </c>
      <c r="Z65" s="137">
        <f t="shared" si="14"/>
        <v>2451.2881770000004</v>
      </c>
      <c r="AA65" s="149">
        <f t="shared" si="15"/>
        <v>-1609.5050650000003</v>
      </c>
      <c r="AB65" s="94">
        <f t="shared" si="16"/>
        <v>14.986603000000059</v>
      </c>
      <c r="AC65" s="152">
        <f t="shared" si="17"/>
        <v>503.50982799999997</v>
      </c>
    </row>
    <row r="66" spans="2:34" ht="24" hidden="1" customHeight="1" outlineLevel="1" thickBot="1" x14ac:dyDescent="0.3">
      <c r="B66" s="59"/>
      <c r="C66" s="19"/>
      <c r="E66" s="3">
        <v>213608011</v>
      </c>
      <c r="F66" s="91" t="s">
        <v>184</v>
      </c>
      <c r="G66" s="92">
        <f>('RESERVAS '!P29+'RESERVAS '!P30)/1000000</f>
        <v>1381.942008</v>
      </c>
      <c r="H66" s="92">
        <f>('RESERVAS '!Q29+'RESERVAS '!Q30)/1000000</f>
        <v>1381.942008</v>
      </c>
      <c r="I66" s="93">
        <f t="shared" si="18"/>
        <v>1</v>
      </c>
      <c r="J66" s="92">
        <f>('RESERVAS '!R29+'RESERVAS '!R30)/1000000</f>
        <v>1381.942008</v>
      </c>
      <c r="K66" s="92" t="e">
        <f>'ejecucion OAP'!E49</f>
        <v>#REF!</v>
      </c>
      <c r="L66" s="92" t="e">
        <f>'ejecucion OAP'!F49</f>
        <v>#REF!</v>
      </c>
      <c r="M66" s="92" t="e">
        <f>'ejecucion OAP'!G49</f>
        <v>#REF!</v>
      </c>
      <c r="N66" s="92">
        <f>'ejecucion OAP'!H49</f>
        <v>10000</v>
      </c>
      <c r="O66" s="93">
        <f t="shared" si="19"/>
        <v>0.11519602254594213</v>
      </c>
      <c r="P66" s="92" t="e">
        <f>'ejecucion OAP'!I49</f>
        <v>#REF!</v>
      </c>
      <c r="Q66" s="94">
        <f>'ejecucion OAP'!N49</f>
        <v>6704.5296239999998</v>
      </c>
      <c r="R66" s="93">
        <f t="shared" si="8"/>
        <v>0.67045296239999996</v>
      </c>
      <c r="S66" s="94">
        <f>'ejecucion OAP'!Q49</f>
        <v>3474.6849809999999</v>
      </c>
      <c r="T66" s="93">
        <f t="shared" si="9"/>
        <v>0.34746849809999997</v>
      </c>
      <c r="U66" s="94">
        <v>8770</v>
      </c>
      <c r="V66" s="114">
        <f t="shared" si="10"/>
        <v>0.877</v>
      </c>
      <c r="W66" s="94">
        <v>7500</v>
      </c>
      <c r="X66" s="114">
        <f t="shared" si="11"/>
        <v>0.75</v>
      </c>
      <c r="Y66" s="94" t="e">
        <f>'ejecucion OAP'!W49</f>
        <v>#REF!</v>
      </c>
      <c r="Z66" s="137">
        <f t="shared" si="14"/>
        <v>2065.4703760000002</v>
      </c>
      <c r="AA66" s="137">
        <f t="shared" si="15"/>
        <v>4025.3150190000001</v>
      </c>
      <c r="AB66" s="94">
        <f t="shared" si="16"/>
        <v>0</v>
      </c>
      <c r="AC66" s="152">
        <f t="shared" si="17"/>
        <v>0</v>
      </c>
    </row>
    <row r="67" spans="2:34" ht="33" hidden="1" customHeight="1" outlineLevel="1" thickBot="1" x14ac:dyDescent="0.3">
      <c r="B67" s="59"/>
      <c r="C67" s="19"/>
      <c r="E67" s="3">
        <v>213608012</v>
      </c>
      <c r="F67" s="91" t="s">
        <v>185</v>
      </c>
      <c r="G67" s="92">
        <f>('RESERVAS '!P31)/1000000</f>
        <v>4209.1837210000003</v>
      </c>
      <c r="H67" s="92">
        <f>('RESERVAS '!Q31)/1000000</f>
        <v>3095.4614219999999</v>
      </c>
      <c r="I67" s="93">
        <f t="shared" si="18"/>
        <v>0.73540658407388149</v>
      </c>
      <c r="J67" s="92">
        <f>('RESERVAS '!R31)/1000000</f>
        <v>1679.4470209999999</v>
      </c>
      <c r="K67" s="92" t="e">
        <f>'ejecucion OAP'!E50</f>
        <v>#REF!</v>
      </c>
      <c r="L67" s="92" t="e">
        <f>'ejecucion OAP'!F50</f>
        <v>#REF!</v>
      </c>
      <c r="M67" s="92" t="e">
        <f>'ejecucion OAP'!G50</f>
        <v>#REF!</v>
      </c>
      <c r="N67" s="92">
        <f>'ejecucion OAP'!H50</f>
        <v>1077</v>
      </c>
      <c r="O67" s="93">
        <f t="shared" si="19"/>
        <v>1.2406611628197969E-2</v>
      </c>
      <c r="P67" s="92" t="e">
        <f>'ejecucion OAP'!I50</f>
        <v>#REF!</v>
      </c>
      <c r="Q67" s="94">
        <f>'ejecucion OAP'!N50</f>
        <v>292.39241099999998</v>
      </c>
      <c r="R67" s="93">
        <f t="shared" si="8"/>
        <v>0.27148784679665738</v>
      </c>
      <c r="S67" s="94">
        <f>'ejecucion OAP'!Q50</f>
        <v>63.988643000000003</v>
      </c>
      <c r="T67" s="93">
        <f t="shared" si="9"/>
        <v>5.9413781801299907E-2</v>
      </c>
      <c r="U67" s="94">
        <v>339</v>
      </c>
      <c r="V67" s="114">
        <f t="shared" si="10"/>
        <v>0.31476323119777161</v>
      </c>
      <c r="W67" s="94">
        <v>339</v>
      </c>
      <c r="X67" s="114">
        <f t="shared" si="11"/>
        <v>0.31476323119777161</v>
      </c>
      <c r="Y67" s="94" t="e">
        <f>'ejecucion OAP'!W50</f>
        <v>#REF!</v>
      </c>
      <c r="Z67" s="137">
        <f t="shared" si="14"/>
        <v>46.607589000000019</v>
      </c>
      <c r="AA67" s="137">
        <f t="shared" si="15"/>
        <v>275.01135699999998</v>
      </c>
      <c r="AB67" s="94">
        <f t="shared" si="16"/>
        <v>1113.7222990000005</v>
      </c>
      <c r="AC67" s="152">
        <f t="shared" si="17"/>
        <v>1416.0144009999999</v>
      </c>
      <c r="AG67" s="19">
        <f>+U67-339</f>
        <v>0</v>
      </c>
      <c r="AH67" s="19">
        <f>4500-U67</f>
        <v>4161</v>
      </c>
    </row>
    <row r="68" spans="2:34" ht="27" hidden="1" customHeight="1" outlineLevel="1" thickBot="1" x14ac:dyDescent="0.3">
      <c r="B68" s="59"/>
      <c r="C68" s="19"/>
      <c r="E68" s="3">
        <v>213608015</v>
      </c>
      <c r="F68" s="91" t="s">
        <v>186</v>
      </c>
      <c r="G68" s="150"/>
      <c r="H68" s="92"/>
      <c r="I68" s="93">
        <v>0</v>
      </c>
      <c r="J68" s="92">
        <v>0</v>
      </c>
      <c r="K68" s="92" t="e">
        <f>'ejecucion OAP'!E53</f>
        <v>#REF!</v>
      </c>
      <c r="L68" s="92" t="e">
        <f>'ejecucion OAP'!F53</f>
        <v>#REF!</v>
      </c>
      <c r="M68" s="92" t="e">
        <f>'ejecucion OAP'!G53</f>
        <v>#REF!</v>
      </c>
      <c r="N68" s="92">
        <f>'ejecucion OAP'!H53</f>
        <v>300</v>
      </c>
      <c r="O68" s="93">
        <f t="shared" si="19"/>
        <v>3.4558806763782643E-3</v>
      </c>
      <c r="P68" s="92" t="e">
        <f>'ejecucion OAP'!I53</f>
        <v>#REF!</v>
      </c>
      <c r="Q68" s="94">
        <f>'ejecucion OAP'!N53</f>
        <v>0</v>
      </c>
      <c r="R68" s="93">
        <f t="shared" si="8"/>
        <v>0</v>
      </c>
      <c r="S68" s="94">
        <f>'ejecucion OAP'!Q53</f>
        <v>0</v>
      </c>
      <c r="T68" s="93">
        <f t="shared" si="9"/>
        <v>0</v>
      </c>
      <c r="U68" s="94">
        <v>0</v>
      </c>
      <c r="V68" s="114">
        <f t="shared" si="10"/>
        <v>0</v>
      </c>
      <c r="W68" s="94">
        <v>0</v>
      </c>
      <c r="X68" s="114">
        <f t="shared" si="11"/>
        <v>0</v>
      </c>
      <c r="Y68" s="94" t="e">
        <f>'ejecucion OAP'!W53</f>
        <v>#REF!</v>
      </c>
      <c r="Z68" s="137">
        <f t="shared" si="14"/>
        <v>0</v>
      </c>
      <c r="AA68" s="137">
        <f t="shared" si="15"/>
        <v>0</v>
      </c>
      <c r="AB68" s="152">
        <f t="shared" si="16"/>
        <v>0</v>
      </c>
      <c r="AC68" s="152">
        <f t="shared" si="17"/>
        <v>0</v>
      </c>
    </row>
    <row r="69" spans="2:34" ht="26.25" hidden="1" customHeight="1" outlineLevel="1" thickBot="1" x14ac:dyDescent="0.3">
      <c r="B69" s="59"/>
      <c r="C69" s="19"/>
      <c r="E69" s="3">
        <v>213608016</v>
      </c>
      <c r="F69" s="91" t="s">
        <v>187</v>
      </c>
      <c r="G69" s="92">
        <f>('RESERVAS '!P34+'RESERVAS '!P35+'RESERVAS '!P36)/1000000</f>
        <v>6342.1018299999996</v>
      </c>
      <c r="H69" s="92">
        <f>('RESERVAS '!Q34+'RESERVAS '!Q35+'RESERVAS '!Q36)/1000000</f>
        <v>5470.9998670000004</v>
      </c>
      <c r="I69" s="93">
        <f t="shared" si="18"/>
        <v>0.8626477489088189</v>
      </c>
      <c r="J69" s="92">
        <f>('RESERVAS '!R34+'RESERVAS '!R35+'RESERVAS '!R36)/1000000</f>
        <v>4420.8379539999996</v>
      </c>
      <c r="K69" s="96" t="e">
        <f>'ejecucion OAP'!E54+'ejecucion OAP'!E55+'ejecucion OAP'!E56</f>
        <v>#REF!</v>
      </c>
      <c r="L69" s="96" t="e">
        <f>'ejecucion OAP'!F54+'ejecucion OAP'!F55+'ejecucion OAP'!F56</f>
        <v>#REF!</v>
      </c>
      <c r="M69" s="96" t="e">
        <f>'ejecucion OAP'!G54+'ejecucion OAP'!G55+'ejecucion OAP'!G56</f>
        <v>#REF!</v>
      </c>
      <c r="N69" s="96">
        <f>'ejecucion OAP'!H54+'ejecucion OAP'!H55+'ejecucion OAP'!H56</f>
        <v>18447.011942000001</v>
      </c>
      <c r="O69" s="93">
        <f t="shared" si="19"/>
        <v>0.21250224035758961</v>
      </c>
      <c r="P69" s="96" t="e">
        <f>'ejecucion OAP'!I54</f>
        <v>#REF!</v>
      </c>
      <c r="Q69" s="97">
        <f>'ejecucion OAP'!N54+'ejecucion OAP'!N55+'ejecucion OAP'!N56</f>
        <v>9556.0819420000007</v>
      </c>
      <c r="R69" s="93">
        <f t="shared" si="8"/>
        <v>0.51802871771567482</v>
      </c>
      <c r="S69" s="97">
        <f>'ejecucion OAP'!Q54+'ejecucion OAP'!Q55</f>
        <v>1913.2064359999999</v>
      </c>
      <c r="T69" s="93">
        <f t="shared" si="9"/>
        <v>0.10371362267316733</v>
      </c>
      <c r="U69" s="94">
        <v>9556.0819420000007</v>
      </c>
      <c r="V69" s="114">
        <f t="shared" si="10"/>
        <v>0.51802871771567482</v>
      </c>
      <c r="W69" s="94">
        <v>9556.0819420000007</v>
      </c>
      <c r="X69" s="114">
        <f t="shared" si="11"/>
        <v>0.51802871771567482</v>
      </c>
      <c r="Y69" s="94" t="e">
        <f>'ejecucion OAP'!W54+'ejecucion OAP'!W55+'ejecucion OAP'!W56</f>
        <v>#REF!</v>
      </c>
      <c r="Z69" s="137">
        <f t="shared" si="14"/>
        <v>0</v>
      </c>
      <c r="AA69" s="137">
        <f t="shared" si="15"/>
        <v>7642.8755060000003</v>
      </c>
      <c r="AB69" s="94">
        <f t="shared" si="16"/>
        <v>871.10196299999916</v>
      </c>
      <c r="AC69" s="94">
        <f t="shared" si="17"/>
        <v>1050.1619130000008</v>
      </c>
    </row>
    <row r="70" spans="2:34" ht="30.75" customHeight="1" collapsed="1" thickBot="1" x14ac:dyDescent="0.3">
      <c r="B70" s="59"/>
      <c r="E70" s="81"/>
      <c r="F70" s="95" t="s">
        <v>237</v>
      </c>
      <c r="G70" s="80">
        <f>SUM(G71:G75)</f>
        <v>333.91309799999999</v>
      </c>
      <c r="H70" s="80">
        <f>SUM(H71:H75)</f>
        <v>333.91309799999999</v>
      </c>
      <c r="I70" s="123">
        <f>+H70/G70</f>
        <v>1</v>
      </c>
      <c r="J70" s="80">
        <f>SUM(J71:J75)</f>
        <v>333.91309799999999</v>
      </c>
      <c r="K70" s="80" t="e">
        <f>SUM(K71:K75)</f>
        <v>#REF!</v>
      </c>
      <c r="L70" s="80" t="e">
        <f t="shared" ref="L70:M70" si="20">SUM(L71:L75)</f>
        <v>#REF!</v>
      </c>
      <c r="M70" s="80" t="e">
        <f t="shared" si="20"/>
        <v>#REF!</v>
      </c>
      <c r="N70" s="80">
        <f>SUM(N71:N75)</f>
        <v>50555</v>
      </c>
      <c r="O70" s="123">
        <f>+N70/N88</f>
        <v>8.3620707936707256E-2</v>
      </c>
      <c r="P70" s="80" t="e">
        <f>SUM(P71:P75)</f>
        <v>#REF!</v>
      </c>
      <c r="Q70" s="80">
        <f>SUM(Q71:Q75)</f>
        <v>45650.698762</v>
      </c>
      <c r="R70" s="89">
        <f t="shared" si="8"/>
        <v>0.90299077760854518</v>
      </c>
      <c r="S70" s="80">
        <f>SUM(S71:S75)</f>
        <v>23798.000393999999</v>
      </c>
      <c r="T70" s="89">
        <f t="shared" si="9"/>
        <v>0.4707348510335278</v>
      </c>
      <c r="U70" s="80">
        <f>SUM(U71:U75)</f>
        <v>47358</v>
      </c>
      <c r="V70" s="113">
        <f t="shared" si="10"/>
        <v>0.93676194243892785</v>
      </c>
      <c r="W70" s="80">
        <f>SUM(W71:W75)</f>
        <v>22602.2</v>
      </c>
      <c r="X70" s="113">
        <f t="shared" si="11"/>
        <v>0.44708139649886264</v>
      </c>
      <c r="Y70" s="80" t="e">
        <f>SUM(Y71:Y75)</f>
        <v>#REF!</v>
      </c>
      <c r="Z70" s="140">
        <f>SUM(Z71:Z75)</f>
        <v>1707.3012379999991</v>
      </c>
      <c r="AA70" s="149">
        <f>SUM(AA71:AA75)</f>
        <v>-1195.8003939999985</v>
      </c>
      <c r="AB70" s="80">
        <f>SUM(AB71:AB75)</f>
        <v>0</v>
      </c>
      <c r="AC70" s="80">
        <f>SUM(AC71:AC75)</f>
        <v>0</v>
      </c>
    </row>
    <row r="71" spans="2:34" ht="40.5" hidden="1" customHeight="1" outlineLevel="1" thickBot="1" x14ac:dyDescent="0.3">
      <c r="B71" s="59"/>
      <c r="E71" s="3">
        <v>213608002</v>
      </c>
      <c r="F71" s="91" t="s">
        <v>107</v>
      </c>
      <c r="G71" s="92">
        <f>('RESERVAS '!P21)/1000000</f>
        <v>258.76765</v>
      </c>
      <c r="H71" s="92">
        <f>('RESERVAS '!Q21)/1000000</f>
        <v>258.76765</v>
      </c>
      <c r="I71" s="93">
        <f>+H71/G71</f>
        <v>1</v>
      </c>
      <c r="J71" s="92">
        <f>('RESERVAS '!R21)/1000000</f>
        <v>258.76765</v>
      </c>
      <c r="K71" s="92" t="e">
        <f>'ejecucion OAP'!E38</f>
        <v>#REF!</v>
      </c>
      <c r="L71" s="92" t="e">
        <f>'ejecucion OAP'!F38</f>
        <v>#REF!</v>
      </c>
      <c r="M71" s="92" t="e">
        <f>'ejecucion OAP'!G38</f>
        <v>#REF!</v>
      </c>
      <c r="N71" s="92">
        <f>'ejecucion OAP'!H38</f>
        <v>6915</v>
      </c>
      <c r="O71" s="93">
        <f>+N71/$N$70</f>
        <v>0.13678172287607557</v>
      </c>
      <c r="P71" s="92" t="e">
        <f>'ejecucion OAP'!I38</f>
        <v>#REF!</v>
      </c>
      <c r="Q71" s="94">
        <f>'ejecucion OAP'!N38</f>
        <v>5940.4955330000003</v>
      </c>
      <c r="R71" s="93">
        <f t="shared" si="8"/>
        <v>0.85907382979031099</v>
      </c>
      <c r="S71" s="94">
        <f>'ejecucion OAP'!Q38</f>
        <v>1019.898413</v>
      </c>
      <c r="T71" s="93">
        <f t="shared" si="9"/>
        <v>0.14749073217642805</v>
      </c>
      <c r="U71" s="94">
        <v>6774</v>
      </c>
      <c r="V71" s="114">
        <f t="shared" si="10"/>
        <v>0.97960954446854664</v>
      </c>
      <c r="W71" s="94">
        <v>0</v>
      </c>
      <c r="X71" s="114">
        <f t="shared" si="11"/>
        <v>0</v>
      </c>
      <c r="Y71" s="94" t="e">
        <f>'ejecucion OAP'!W38</f>
        <v>#REF!</v>
      </c>
      <c r="Z71" s="94">
        <f>+U71-Q71</f>
        <v>833.50446699999975</v>
      </c>
      <c r="AA71" s="149">
        <f>+W71-S71</f>
        <v>-1019.898413</v>
      </c>
      <c r="AB71" s="94">
        <f>(G71-H71)</f>
        <v>0</v>
      </c>
      <c r="AC71" s="153">
        <f>(H71-J71)</f>
        <v>0</v>
      </c>
    </row>
    <row r="72" spans="2:34" ht="33" hidden="1" customHeight="1" outlineLevel="1" thickBot="1" x14ac:dyDescent="0.3">
      <c r="B72" s="59"/>
      <c r="E72" s="3">
        <v>213608003</v>
      </c>
      <c r="F72" s="91" t="s">
        <v>109</v>
      </c>
      <c r="G72" s="92">
        <f>('RESERVAS '!P22)/1000000</f>
        <v>39.379612999999999</v>
      </c>
      <c r="H72" s="92">
        <f>('RESERVAS '!Q22)/1000000</f>
        <v>39.379612999999999</v>
      </c>
      <c r="I72" s="93">
        <f>+H72/G72</f>
        <v>1</v>
      </c>
      <c r="J72" s="92">
        <f>('RESERVAS '!R22)/1000000</f>
        <v>39.379612999999999</v>
      </c>
      <c r="K72" s="92" t="e">
        <f>'ejecucion OAP'!E39</f>
        <v>#REF!</v>
      </c>
      <c r="L72" s="92" t="e">
        <f>'ejecucion OAP'!F39</f>
        <v>#REF!</v>
      </c>
      <c r="M72" s="92" t="e">
        <f>'ejecucion OAP'!G39</f>
        <v>#REF!</v>
      </c>
      <c r="N72" s="92">
        <f>'ejecucion OAP'!H39</f>
        <v>3877</v>
      </c>
      <c r="O72" s="93">
        <f t="shared" ref="O72:O75" si="21">+N72/$N$70</f>
        <v>7.6688754821481561E-2</v>
      </c>
      <c r="P72" s="92" t="e">
        <f>'ejecucion OAP'!I39</f>
        <v>#REF!</v>
      </c>
      <c r="Q72" s="94">
        <f>'ejecucion OAP'!N39</f>
        <v>2364.6931949999998</v>
      </c>
      <c r="R72" s="93">
        <f t="shared" si="8"/>
        <v>0.60992860330152177</v>
      </c>
      <c r="S72" s="94">
        <f>'ejecucion OAP'!Q39</f>
        <v>1543.5187089999999</v>
      </c>
      <c r="T72" s="93">
        <f t="shared" si="9"/>
        <v>0.39812192648955375</v>
      </c>
      <c r="U72" s="94">
        <v>3666</v>
      </c>
      <c r="V72" s="114">
        <f t="shared" si="10"/>
        <v>0.94557647665720923</v>
      </c>
      <c r="W72" s="94">
        <v>1700</v>
      </c>
      <c r="X72" s="114">
        <f t="shared" si="11"/>
        <v>0.43848336342532884</v>
      </c>
      <c r="Y72" s="94" t="e">
        <f>'ejecucion OAP'!W39</f>
        <v>#REF!</v>
      </c>
      <c r="Z72" s="94">
        <f>+U72-Q72</f>
        <v>1301.3068050000002</v>
      </c>
      <c r="AA72" s="94">
        <f>+W72-S72</f>
        <v>156.48129100000006</v>
      </c>
      <c r="AB72" s="94">
        <f>(G72-H72)</f>
        <v>0</v>
      </c>
      <c r="AC72" s="153">
        <f>(H72-J72)</f>
        <v>0</v>
      </c>
    </row>
    <row r="73" spans="2:34" ht="30" hidden="1" customHeight="1" outlineLevel="1" thickBot="1" x14ac:dyDescent="0.3">
      <c r="B73" s="59"/>
      <c r="E73" s="3">
        <v>213608008</v>
      </c>
      <c r="F73" s="91" t="s">
        <v>120</v>
      </c>
      <c r="G73" s="150"/>
      <c r="H73" s="92"/>
      <c r="I73" s="93">
        <v>0</v>
      </c>
      <c r="J73" s="92">
        <v>0</v>
      </c>
      <c r="K73" s="92" t="e">
        <f>'ejecucion OAP'!E45</f>
        <v>#REF!</v>
      </c>
      <c r="L73" s="92" t="e">
        <f>'ejecucion OAP'!F45</f>
        <v>#REF!</v>
      </c>
      <c r="M73" s="92" t="e">
        <f>'ejecucion OAP'!G45</f>
        <v>#REF!</v>
      </c>
      <c r="N73" s="92">
        <f>'ejecucion OAP'!H45</f>
        <v>2000</v>
      </c>
      <c r="O73" s="93">
        <f t="shared" si="21"/>
        <v>3.9560874295321929E-2</v>
      </c>
      <c r="P73" s="92" t="e">
        <f>'ejecucion OAP'!I45</f>
        <v>#REF!</v>
      </c>
      <c r="Q73" s="94">
        <f>'ejecucion OAP'!N45</f>
        <v>671.85115800000005</v>
      </c>
      <c r="R73" s="93">
        <f t="shared" si="8"/>
        <v>0.33592557900000003</v>
      </c>
      <c r="S73" s="94">
        <f>'ejecucion OAP'!Q45</f>
        <v>0</v>
      </c>
      <c r="T73" s="93">
        <f t="shared" si="9"/>
        <v>0</v>
      </c>
      <c r="U73" s="94">
        <v>1754</v>
      </c>
      <c r="V73" s="114">
        <f t="shared" si="10"/>
        <v>0.877</v>
      </c>
      <c r="W73" s="94">
        <v>526.20000000000005</v>
      </c>
      <c r="X73" s="114">
        <f t="shared" si="11"/>
        <v>0.2631</v>
      </c>
      <c r="Y73" s="94" t="e">
        <f>'ejecucion OAP'!W45</f>
        <v>#REF!</v>
      </c>
      <c r="Z73" s="94">
        <f>+U73-Q73</f>
        <v>1082.1488420000001</v>
      </c>
      <c r="AA73" s="94">
        <f>+W73-S73</f>
        <v>526.20000000000005</v>
      </c>
      <c r="AB73" s="94">
        <f>(G73-H73)</f>
        <v>0</v>
      </c>
      <c r="AC73" s="153">
        <f>(H73-J73)</f>
        <v>0</v>
      </c>
    </row>
    <row r="74" spans="2:34" ht="27" hidden="1" customHeight="1" outlineLevel="1" thickBot="1" x14ac:dyDescent="0.3">
      <c r="B74" s="59"/>
      <c r="E74" s="3">
        <v>213608014</v>
      </c>
      <c r="F74" s="91" t="s">
        <v>135</v>
      </c>
      <c r="G74" s="92">
        <f>('RESERVAS '!P33)/1000000</f>
        <v>0</v>
      </c>
      <c r="H74" s="92">
        <f>('RESERVAS '!Q33)/1000000</f>
        <v>0</v>
      </c>
      <c r="I74" s="93">
        <v>0</v>
      </c>
      <c r="J74" s="92">
        <f>('RESERVAS '!R33)/1000000</f>
        <v>0</v>
      </c>
      <c r="K74" s="92" t="e">
        <f>'ejecucion OAP'!E52</f>
        <v>#REF!</v>
      </c>
      <c r="L74" s="92" t="e">
        <f>'ejecucion OAP'!F52</f>
        <v>#REF!</v>
      </c>
      <c r="M74" s="92" t="e">
        <f>'ejecucion OAP'!G52</f>
        <v>#REF!</v>
      </c>
      <c r="N74" s="92">
        <f>'ejecucion OAP'!H52</f>
        <v>1417</v>
      </c>
      <c r="O74" s="93">
        <f t="shared" si="21"/>
        <v>2.8028879438235586E-2</v>
      </c>
      <c r="P74" s="92" t="e">
        <f>'ejecucion OAP'!I52</f>
        <v>#REF!</v>
      </c>
      <c r="Q74" s="94">
        <f>'ejecucion OAP'!N52</f>
        <v>1382.3594399999999</v>
      </c>
      <c r="R74" s="93">
        <f t="shared" si="8"/>
        <v>0.97555359209597736</v>
      </c>
      <c r="S74" s="94">
        <f>'ejecucion OAP'!Q52</f>
        <v>142.88013000000001</v>
      </c>
      <c r="T74" s="93">
        <f t="shared" si="9"/>
        <v>0.10083283697953423</v>
      </c>
      <c r="U74" s="94">
        <v>1243</v>
      </c>
      <c r="V74" s="114">
        <f t="shared" si="10"/>
        <v>0.87720536344389555</v>
      </c>
      <c r="W74" s="94">
        <v>300</v>
      </c>
      <c r="X74" s="114">
        <f t="shared" si="11"/>
        <v>0.21171489061397319</v>
      </c>
      <c r="Y74" s="94" t="e">
        <f>'ejecucion OAP'!W52</f>
        <v>#REF!</v>
      </c>
      <c r="Z74" s="149">
        <f>+U74-Q74</f>
        <v>-139.35943999999995</v>
      </c>
      <c r="AA74" s="94">
        <f>+W74-S74</f>
        <v>157.11986999999999</v>
      </c>
      <c r="AB74" s="94">
        <f>(G74-H74)</f>
        <v>0</v>
      </c>
      <c r="AC74" s="153">
        <f>(H74-J74)</f>
        <v>0</v>
      </c>
    </row>
    <row r="75" spans="2:34" ht="39" hidden="1" customHeight="1" outlineLevel="1" thickBot="1" x14ac:dyDescent="0.3">
      <c r="B75" s="59"/>
      <c r="E75" s="3">
        <v>213608034</v>
      </c>
      <c r="F75" s="91" t="s">
        <v>153</v>
      </c>
      <c r="G75" s="92">
        <f>('RESERVAS '!P40)/1000000</f>
        <v>35.765835000000003</v>
      </c>
      <c r="H75" s="92">
        <f>('RESERVAS '!Q40)/1000000</f>
        <v>35.765835000000003</v>
      </c>
      <c r="I75" s="93">
        <f t="shared" ref="I75:I86" si="22">+H75/G75</f>
        <v>1</v>
      </c>
      <c r="J75" s="92">
        <f>('RESERVAS '!R40)/1000000</f>
        <v>35.765835000000003</v>
      </c>
      <c r="K75" s="92" t="e">
        <f>'ejecucion OAP'!E60</f>
        <v>#REF!</v>
      </c>
      <c r="L75" s="92" t="e">
        <f>'ejecucion OAP'!F60</f>
        <v>#REF!</v>
      </c>
      <c r="M75" s="92" t="e">
        <f>'ejecucion OAP'!G60</f>
        <v>#REF!</v>
      </c>
      <c r="N75" s="92">
        <f>'ejecucion OAP'!H60</f>
        <v>36346</v>
      </c>
      <c r="O75" s="93">
        <f t="shared" si="21"/>
        <v>0.71893976856888542</v>
      </c>
      <c r="P75" s="92" t="e">
        <f>'ejecucion OAP'!I60</f>
        <v>#REF!</v>
      </c>
      <c r="Q75" s="94">
        <f>'ejecucion OAP'!N60</f>
        <v>35291.299436000001</v>
      </c>
      <c r="R75" s="93">
        <f t="shared" si="8"/>
        <v>0.97098166059538882</v>
      </c>
      <c r="S75" s="94">
        <f>'ejecucion OAP'!Q60</f>
        <v>21091.703141999998</v>
      </c>
      <c r="T75" s="93">
        <f t="shared" si="9"/>
        <v>0.58030328349749627</v>
      </c>
      <c r="U75" s="94">
        <v>33921</v>
      </c>
      <c r="V75" s="114">
        <f t="shared" si="10"/>
        <v>0.93328014086832112</v>
      </c>
      <c r="W75" s="94">
        <v>20076</v>
      </c>
      <c r="X75" s="114">
        <f t="shared" si="11"/>
        <v>0.55235789357838549</v>
      </c>
      <c r="Y75" s="94" t="e">
        <f>'ejecucion OAP'!W60</f>
        <v>#REF!</v>
      </c>
      <c r="Z75" s="149">
        <f>+U75-Q75</f>
        <v>-1370.2994360000012</v>
      </c>
      <c r="AA75" s="149">
        <f>+W75-S75</f>
        <v>-1015.7031419999985</v>
      </c>
      <c r="AB75" s="94">
        <f>(G75-H75)</f>
        <v>0</v>
      </c>
      <c r="AC75" s="153">
        <f>(H75-J75)</f>
        <v>0</v>
      </c>
    </row>
    <row r="76" spans="2:34" ht="21" customHeight="1" collapsed="1" x14ac:dyDescent="0.25">
      <c r="B76" s="59"/>
      <c r="E76" s="81"/>
      <c r="F76" s="95" t="s">
        <v>209</v>
      </c>
      <c r="G76" s="80">
        <f>SUM(G77:G78)</f>
        <v>1501.8095990000002</v>
      </c>
      <c r="H76" s="80">
        <f>SUM(H77:H78)</f>
        <v>1501.8095980000001</v>
      </c>
      <c r="I76" s="123">
        <f t="shared" si="22"/>
        <v>0.99999999933413652</v>
      </c>
      <c r="J76" s="80">
        <f>SUM(J77:J78)</f>
        <v>1254.288798</v>
      </c>
      <c r="K76" s="80" t="e">
        <f>SUM(K77:K78)</f>
        <v>#REF!</v>
      </c>
      <c r="L76" s="80" t="e">
        <f t="shared" ref="L76:M76" si="23">SUM(L77:L78)</f>
        <v>#REF!</v>
      </c>
      <c r="M76" s="80" t="e">
        <f t="shared" si="23"/>
        <v>#REF!</v>
      </c>
      <c r="N76" s="80">
        <f>SUM(N77:N78)</f>
        <v>9902</v>
      </c>
      <c r="O76" s="123">
        <f>+N76/N88</f>
        <v>1.6378444268406196E-2</v>
      </c>
      <c r="P76" s="80" t="e">
        <f>SUM(P77:P78)</f>
        <v>#REF!</v>
      </c>
      <c r="Q76" s="80">
        <f>SUM(Q77:Q78)</f>
        <v>8893.72318748</v>
      </c>
      <c r="R76" s="89">
        <f t="shared" si="8"/>
        <v>0.89817442814380932</v>
      </c>
      <c r="S76" s="80">
        <f>SUM(S77:S78)</f>
        <v>5415.4170644799997</v>
      </c>
      <c r="T76" s="89">
        <f t="shared" si="9"/>
        <v>0.54690133957584319</v>
      </c>
      <c r="U76" s="80">
        <f>SUM(U77:U78)</f>
        <v>9607.4049134999987</v>
      </c>
      <c r="V76" s="113">
        <f t="shared" si="10"/>
        <v>0.97024893087255082</v>
      </c>
      <c r="W76" s="80">
        <f>SUM(W77:W78)</f>
        <v>5711.4254894999995</v>
      </c>
      <c r="X76" s="113">
        <f t="shared" si="11"/>
        <v>0.57679514133508381</v>
      </c>
      <c r="Y76" s="80" t="e">
        <f>SUM(Y77:Y78)</f>
        <v>#REF!</v>
      </c>
      <c r="Z76" s="140">
        <f>SUM(Z77:Z78)</f>
        <v>713.68172601999913</v>
      </c>
      <c r="AA76" s="141">
        <f>SUM(AA77:AA78)</f>
        <v>296.00842502000023</v>
      </c>
      <c r="AB76" s="80">
        <f>SUM(AB77:AB78)</f>
        <v>1.0000001111620804E-6</v>
      </c>
      <c r="AC76" s="90">
        <f>SUM(AC77:AC78)</f>
        <v>247.52080000000001</v>
      </c>
    </row>
    <row r="77" spans="2:34" ht="37.5" hidden="1" customHeight="1" outlineLevel="1" thickBot="1" x14ac:dyDescent="0.3">
      <c r="B77" s="59"/>
      <c r="E77" s="3">
        <v>213608018</v>
      </c>
      <c r="F77" s="98" t="s">
        <v>144</v>
      </c>
      <c r="G77" s="92">
        <f>('RESERVAS '!P37)/1000000</f>
        <v>1370.4979410000001</v>
      </c>
      <c r="H77" s="92">
        <f>('RESERVAS '!Q37)/1000000</f>
        <v>1370.49794</v>
      </c>
      <c r="I77" s="93">
        <f t="shared" si="22"/>
        <v>0.99999999927033811</v>
      </c>
      <c r="J77" s="92">
        <f>('RESERVAS '!R37)/1000000</f>
        <v>1122.97714</v>
      </c>
      <c r="K77" s="92" t="e">
        <f>'ejecucion OAP'!E57</f>
        <v>#REF!</v>
      </c>
      <c r="L77" s="92" t="e">
        <f>'ejecucion OAP'!F57</f>
        <v>#REF!</v>
      </c>
      <c r="M77" s="92" t="e">
        <f>'ejecucion OAP'!G57</f>
        <v>#REF!</v>
      </c>
      <c r="N77" s="92">
        <f>'ejecucion OAP'!H57</f>
        <v>4457</v>
      </c>
      <c r="O77" s="93">
        <f>+N77/$N$76</f>
        <v>0.45011108866895577</v>
      </c>
      <c r="P77" s="92" t="e">
        <f>'ejecucion OAP'!I57</f>
        <v>#REF!</v>
      </c>
      <c r="Q77" s="94">
        <f>'ejecucion OAP'!N57</f>
        <v>3992.2350074800001</v>
      </c>
      <c r="R77" s="93">
        <f t="shared" si="8"/>
        <v>0.89572246073143369</v>
      </c>
      <c r="S77" s="94">
        <f>'ejecucion OAP'!Q57</f>
        <v>2270.1676424799998</v>
      </c>
      <c r="T77" s="93">
        <f t="shared" si="9"/>
        <v>0.5093488091720888</v>
      </c>
      <c r="U77" s="94">
        <v>4262.4049134999996</v>
      </c>
      <c r="V77" s="114">
        <f t="shared" si="10"/>
        <v>0.95633944660085246</v>
      </c>
      <c r="W77" s="94">
        <v>2333.7569075000001</v>
      </c>
      <c r="X77" s="114">
        <f t="shared" si="11"/>
        <v>0.52361608873681853</v>
      </c>
      <c r="Y77" s="94" t="e">
        <f>'ejecucion OAP'!W57</f>
        <v>#REF!</v>
      </c>
      <c r="Z77" s="94">
        <f>+U77-Q77</f>
        <v>270.16990601999942</v>
      </c>
      <c r="AA77" s="94">
        <f>+W77-S77</f>
        <v>63.589265020000312</v>
      </c>
      <c r="AB77" s="94">
        <f>(G77-H77)</f>
        <v>1.0000001111620804E-6</v>
      </c>
      <c r="AC77" s="153">
        <f>(H77-J77)</f>
        <v>247.52080000000001</v>
      </c>
    </row>
    <row r="78" spans="2:34" ht="26.25" hidden="1" customHeight="1" outlineLevel="1" thickBot="1" x14ac:dyDescent="0.3">
      <c r="B78" s="59"/>
      <c r="E78" s="3">
        <v>213608019</v>
      </c>
      <c r="F78" s="98" t="s">
        <v>147</v>
      </c>
      <c r="G78" s="92">
        <f>('RESERVAS '!P38)/1000000</f>
        <v>131.31165799999999</v>
      </c>
      <c r="H78" s="92">
        <f>('RESERVAS '!Q38)/1000000</f>
        <v>131.31165799999999</v>
      </c>
      <c r="I78" s="93">
        <f t="shared" si="22"/>
        <v>1</v>
      </c>
      <c r="J78" s="92">
        <f>('RESERVAS '!R38)/1000000</f>
        <v>131.31165799999999</v>
      </c>
      <c r="K78" s="92" t="e">
        <f>'ejecucion OAP'!E58</f>
        <v>#REF!</v>
      </c>
      <c r="L78" s="92" t="e">
        <f>'ejecucion OAP'!F58</f>
        <v>#REF!</v>
      </c>
      <c r="M78" s="92" t="e">
        <f>'ejecucion OAP'!G58</f>
        <v>#REF!</v>
      </c>
      <c r="N78" s="92">
        <f>'ejecucion OAP'!H58</f>
        <v>5445</v>
      </c>
      <c r="O78" s="93">
        <f>+N78/$N$76</f>
        <v>0.54988891133104423</v>
      </c>
      <c r="P78" s="92" t="e">
        <f>'ejecucion OAP'!I58</f>
        <v>#REF!</v>
      </c>
      <c r="Q78" s="94">
        <f>'ejecucion OAP'!N58</f>
        <v>4901.4881800000003</v>
      </c>
      <c r="R78" s="93">
        <f t="shared" si="8"/>
        <v>0.90018148393021125</v>
      </c>
      <c r="S78" s="94">
        <f>'ejecucion OAP'!Q58</f>
        <v>3145.2494219999999</v>
      </c>
      <c r="T78" s="93">
        <f t="shared" si="9"/>
        <v>0.57763993057851237</v>
      </c>
      <c r="U78" s="94">
        <v>5345</v>
      </c>
      <c r="V78" s="114">
        <f t="shared" si="10"/>
        <v>0.98163452708907251</v>
      </c>
      <c r="W78" s="94">
        <v>3377.6685819999998</v>
      </c>
      <c r="X78" s="114">
        <f t="shared" si="11"/>
        <v>0.62032480844811755</v>
      </c>
      <c r="Y78" s="94" t="e">
        <f>'ejecucion OAP'!W58</f>
        <v>#REF!</v>
      </c>
      <c r="Z78" s="94">
        <f>+U78-Q78</f>
        <v>443.51181999999972</v>
      </c>
      <c r="AA78" s="94">
        <f>+W78-S78</f>
        <v>232.41915999999992</v>
      </c>
      <c r="AB78" s="152">
        <f>(G78-H78)</f>
        <v>0</v>
      </c>
      <c r="AC78" s="153">
        <f>(H78-J78)</f>
        <v>0</v>
      </c>
    </row>
    <row r="79" spans="2:34" ht="30.75" customHeight="1" collapsed="1" x14ac:dyDescent="0.25">
      <c r="B79" s="59"/>
      <c r="E79" s="81"/>
      <c r="F79" s="95" t="s">
        <v>238</v>
      </c>
      <c r="G79" s="80">
        <f>SUM(G80:G81)</f>
        <v>1581.359256</v>
      </c>
      <c r="H79" s="80">
        <f>SUM(H80:H81)</f>
        <v>986.55977299999995</v>
      </c>
      <c r="I79" s="123">
        <f t="shared" si="22"/>
        <v>0.62386821290405114</v>
      </c>
      <c r="J79" s="80">
        <f>SUM(J80:J81)</f>
        <v>986.55977299999995</v>
      </c>
      <c r="K79" s="80" t="e">
        <f>SUM(K80:K81)</f>
        <v>#REF!</v>
      </c>
      <c r="L79" s="80" t="e">
        <f t="shared" ref="L79:M79" si="24">SUM(L80:L81)</f>
        <v>#REF!</v>
      </c>
      <c r="M79" s="80" t="e">
        <f t="shared" si="24"/>
        <v>#REF!</v>
      </c>
      <c r="N79" s="80">
        <f>SUM(N80:N81)</f>
        <v>10500</v>
      </c>
      <c r="O79" s="123">
        <f>+N79/N88</f>
        <v>1.7367568654641997E-2</v>
      </c>
      <c r="P79" s="80" t="e">
        <f>SUM(P80:P81)</f>
        <v>#REF!</v>
      </c>
      <c r="Q79" s="80">
        <f>SUM(Q80:Q81)</f>
        <v>7457.9011920000003</v>
      </c>
      <c r="R79" s="89">
        <f t="shared" si="8"/>
        <v>0.71027630400000008</v>
      </c>
      <c r="S79" s="80">
        <f>SUM(S80:S81)</f>
        <v>3007.8562540000003</v>
      </c>
      <c r="T79" s="89">
        <f t="shared" si="9"/>
        <v>0.28646250038095239</v>
      </c>
      <c r="U79" s="80">
        <f>SUM(U80:U81)</f>
        <v>10410.474202000001</v>
      </c>
      <c r="V79" s="113">
        <f t="shared" si="10"/>
        <v>0.99147373352380963</v>
      </c>
      <c r="W79" s="80">
        <f>SUM(W80:W81)</f>
        <v>7927.6815759999999</v>
      </c>
      <c r="X79" s="113">
        <f t="shared" si="11"/>
        <v>0.75501729295238096</v>
      </c>
      <c r="Y79" s="80" t="e">
        <f>SUM(Y80:Y81)</f>
        <v>#REF!</v>
      </c>
      <c r="Z79" s="142">
        <f>SUM(Z80:Z81)</f>
        <v>2952.5730100000005</v>
      </c>
      <c r="AA79" s="142">
        <f>SUM(AA80:AA81)</f>
        <v>4919.8253219999997</v>
      </c>
      <c r="AB79" s="80">
        <f>SUM(AB80:AB81)</f>
        <v>594.7994829999999</v>
      </c>
      <c r="AC79" s="90">
        <f>SUM(AC80:AC81)</f>
        <v>0</v>
      </c>
    </row>
    <row r="80" spans="2:34" ht="27" hidden="1" customHeight="1" outlineLevel="1" thickBot="1" x14ac:dyDescent="0.3">
      <c r="B80" s="59"/>
      <c r="E80" s="3">
        <v>112608001</v>
      </c>
      <c r="F80" s="98" t="s">
        <v>176</v>
      </c>
      <c r="G80" s="92">
        <f>('RESERVAS '!P13)/1000000</f>
        <v>448.25700000000001</v>
      </c>
      <c r="H80" s="92">
        <f>('RESERVAS '!Q13)/1000000</f>
        <v>448.25700000000001</v>
      </c>
      <c r="I80" s="123">
        <f t="shared" si="22"/>
        <v>1</v>
      </c>
      <c r="J80" s="92">
        <f>('RESERVAS '!R13)/1000000</f>
        <v>448.25700000000001</v>
      </c>
      <c r="K80" s="92" t="e">
        <f>'ejecucion OAP'!E31</f>
        <v>#REF!</v>
      </c>
      <c r="L80" s="92" t="e">
        <f>'ejecucion OAP'!F31</f>
        <v>#REF!</v>
      </c>
      <c r="M80" s="92" t="e">
        <f>'ejecucion OAP'!G31</f>
        <v>#REF!</v>
      </c>
      <c r="N80" s="92">
        <f>'ejecucion OAP'!H31</f>
        <v>3000</v>
      </c>
      <c r="O80" s="93">
        <f>+N80/$N$79</f>
        <v>0.2857142857142857</v>
      </c>
      <c r="P80" s="92" t="e">
        <f>'ejecucion OAP'!I31</f>
        <v>#REF!</v>
      </c>
      <c r="Q80" s="94">
        <f>'ejecucion OAP'!N31</f>
        <v>103.660692</v>
      </c>
      <c r="R80" s="93">
        <f t="shared" si="8"/>
        <v>3.4553564000000002E-2</v>
      </c>
      <c r="S80" s="94">
        <f>'ejecucion OAP'!Q31</f>
        <v>47.330795999999999</v>
      </c>
      <c r="T80" s="93">
        <f t="shared" si="9"/>
        <v>1.5776932E-2</v>
      </c>
      <c r="U80" s="94">
        <v>3000</v>
      </c>
      <c r="V80" s="114">
        <f t="shared" si="10"/>
        <v>1</v>
      </c>
      <c r="W80" s="94">
        <v>2984</v>
      </c>
      <c r="X80" s="114">
        <f t="shared" si="11"/>
        <v>0.9946666666666667</v>
      </c>
      <c r="Y80" s="94" t="e">
        <f>'ejecucion OAP'!W31</f>
        <v>#REF!</v>
      </c>
      <c r="Z80" s="94">
        <f>U80-Q80</f>
        <v>2896.3393080000001</v>
      </c>
      <c r="AA80" s="94">
        <f>W80-S80</f>
        <v>2936.6692039999998</v>
      </c>
      <c r="AB80" s="94">
        <f>(G80-H80)</f>
        <v>0</v>
      </c>
      <c r="AC80" s="153">
        <f>(H80-J80)</f>
        <v>0</v>
      </c>
    </row>
    <row r="81" spans="2:31" ht="39.75" hidden="1" customHeight="1" outlineLevel="1" thickBot="1" x14ac:dyDescent="0.3">
      <c r="B81" s="59"/>
      <c r="E81" s="3">
        <v>510608004</v>
      </c>
      <c r="F81" s="98" t="s">
        <v>190</v>
      </c>
      <c r="G81" s="92">
        <f>('RESERVAS '!P43)/1000000</f>
        <v>1133.1022559999999</v>
      </c>
      <c r="H81" s="92">
        <f>('RESERVAS '!Q43)/1000000</f>
        <v>538.302773</v>
      </c>
      <c r="I81" s="123">
        <f t="shared" si="22"/>
        <v>0.47506989783982922</v>
      </c>
      <c r="J81" s="92">
        <f>('RESERVAS '!R43)/1000000</f>
        <v>538.302773</v>
      </c>
      <c r="K81" s="92" t="e">
        <f>'ejecucion OAP'!E64</f>
        <v>#REF!</v>
      </c>
      <c r="L81" s="92" t="e">
        <f>'ejecucion OAP'!F64</f>
        <v>#REF!</v>
      </c>
      <c r="M81" s="92" t="e">
        <f>'ejecucion OAP'!G64</f>
        <v>#REF!</v>
      </c>
      <c r="N81" s="92">
        <f>'ejecucion OAP'!H64</f>
        <v>7500</v>
      </c>
      <c r="O81" s="93">
        <f>+N81/$N$79</f>
        <v>0.7142857142857143</v>
      </c>
      <c r="P81" s="92" t="e">
        <f>'ejecucion OAP'!I64</f>
        <v>#REF!</v>
      </c>
      <c r="Q81" s="94">
        <f>'ejecucion OAP'!N64</f>
        <v>7354.2404999999999</v>
      </c>
      <c r="R81" s="93">
        <f t="shared" si="8"/>
        <v>0.98056540000000003</v>
      </c>
      <c r="S81" s="94">
        <f>'ejecucion OAP'!Q64</f>
        <v>2960.5254580000001</v>
      </c>
      <c r="T81" s="93">
        <f t="shared" si="9"/>
        <v>0.39473672773333335</v>
      </c>
      <c r="U81" s="94">
        <v>7410.4742020000003</v>
      </c>
      <c r="V81" s="114">
        <f t="shared" si="10"/>
        <v>0.98806322693333337</v>
      </c>
      <c r="W81" s="94">
        <v>4943.6815759999999</v>
      </c>
      <c r="X81" s="114">
        <f t="shared" si="11"/>
        <v>0.65915754346666666</v>
      </c>
      <c r="Y81" s="94" t="e">
        <f>'ejecucion OAP'!W64</f>
        <v>#REF!</v>
      </c>
      <c r="Z81" s="94">
        <f>U81-Q81</f>
        <v>56.233702000000449</v>
      </c>
      <c r="AA81" s="94">
        <f>W81-S81</f>
        <v>1983.1561179999999</v>
      </c>
      <c r="AB81" s="94">
        <f>(G81-H81)</f>
        <v>594.7994829999999</v>
      </c>
      <c r="AC81" s="153">
        <f>(H81-J81)</f>
        <v>0</v>
      </c>
    </row>
    <row r="82" spans="2:31" ht="25.5" customHeight="1" collapsed="1" thickBot="1" x14ac:dyDescent="0.3">
      <c r="B82" s="59"/>
      <c r="E82" s="3"/>
      <c r="F82" s="95" t="s">
        <v>200</v>
      </c>
      <c r="G82" s="80">
        <f>+G83+G84</f>
        <v>70.646535</v>
      </c>
      <c r="H82" s="80">
        <f>+H83+H84</f>
        <v>70.646535</v>
      </c>
      <c r="I82" s="123">
        <f t="shared" si="22"/>
        <v>1</v>
      </c>
      <c r="J82" s="80">
        <f>+J83+J84</f>
        <v>70.646535</v>
      </c>
      <c r="K82" s="80" t="e">
        <f>+K83+K84</f>
        <v>#REF!</v>
      </c>
      <c r="L82" s="80" t="e">
        <f t="shared" ref="L82:M82" si="25">+L83+L84</f>
        <v>#REF!</v>
      </c>
      <c r="M82" s="80" t="e">
        <f t="shared" si="25"/>
        <v>#REF!</v>
      </c>
      <c r="N82" s="80">
        <f>+N83+N84</f>
        <v>4690</v>
      </c>
      <c r="O82" s="123">
        <f>+N82/N88</f>
        <v>7.7575139990734253E-3</v>
      </c>
      <c r="P82" s="80" t="e">
        <f>+P83+P84</f>
        <v>#REF!</v>
      </c>
      <c r="Q82" s="80">
        <f>+Q83+Q84</f>
        <v>3702.3717532199998</v>
      </c>
      <c r="R82" s="89">
        <f>+Q82/N82</f>
        <v>0.78941828426865668</v>
      </c>
      <c r="S82" s="80">
        <f>+S83+S84</f>
        <v>2042.558211</v>
      </c>
      <c r="T82" s="89">
        <f>+S82/N82</f>
        <v>0.43551347782515992</v>
      </c>
      <c r="U82" s="80">
        <f>+U83+U84</f>
        <v>4057</v>
      </c>
      <c r="V82" s="113">
        <f>+U82/N82</f>
        <v>0.86503198294243067</v>
      </c>
      <c r="W82" s="80">
        <f>+W83+W84</f>
        <v>2451.1808310000001</v>
      </c>
      <c r="X82" s="113">
        <f>+W82/N82</f>
        <v>0.52263983603411512</v>
      </c>
      <c r="Y82" s="80" t="e">
        <f>+Y83+Y84</f>
        <v>#REF!</v>
      </c>
      <c r="Z82" s="142">
        <f>+Z83+Z84</f>
        <v>354.62824678000004</v>
      </c>
      <c r="AA82" s="142">
        <f>+AA83+AA84</f>
        <v>408.62262000000021</v>
      </c>
      <c r="AB82" s="90">
        <f>+AB83+AB84</f>
        <v>0</v>
      </c>
      <c r="AC82" s="90">
        <f>+AC83+AC84</f>
        <v>0</v>
      </c>
    </row>
    <row r="83" spans="2:31" ht="35.25" hidden="1" customHeight="1" outlineLevel="1" thickBot="1" x14ac:dyDescent="0.3">
      <c r="B83" s="59"/>
      <c r="E83" s="3">
        <v>510608017</v>
      </c>
      <c r="F83" s="91" t="s">
        <v>167</v>
      </c>
      <c r="G83" s="151">
        <f>('RESERVAS '!P44)/1000000</f>
        <v>0.47791099999999997</v>
      </c>
      <c r="H83" s="151">
        <f>('RESERVAS '!Q44)/1000000</f>
        <v>0.47791099999999997</v>
      </c>
      <c r="I83" s="93">
        <f t="shared" si="22"/>
        <v>1</v>
      </c>
      <c r="J83" s="92">
        <f>('RESERVAS '!R44)/1000000</f>
        <v>0.47791099999999997</v>
      </c>
      <c r="K83" s="92" t="e">
        <f>'ejecucion OAP'!E65</f>
        <v>#REF!</v>
      </c>
      <c r="L83" s="92" t="e">
        <f>'ejecucion OAP'!F65</f>
        <v>#REF!</v>
      </c>
      <c r="M83" s="92" t="e">
        <f>'ejecucion OAP'!G65</f>
        <v>#REF!</v>
      </c>
      <c r="N83" s="92">
        <f>'ejecucion OAP'!H65</f>
        <v>1432</v>
      </c>
      <c r="O83" s="92"/>
      <c r="P83" s="92" t="e">
        <f>'ejecucion OAP'!I65</f>
        <v>#REF!</v>
      </c>
      <c r="Q83" s="94">
        <f>'ejecucion OAP'!N65</f>
        <v>635.52655100000004</v>
      </c>
      <c r="R83" s="93">
        <f t="shared" si="8"/>
        <v>0.44380345740223465</v>
      </c>
      <c r="S83" s="94">
        <f>'ejecucion OAP'!Q65</f>
        <v>359.21000700000002</v>
      </c>
      <c r="T83" s="93">
        <f t="shared" si="9"/>
        <v>0.25084497695530728</v>
      </c>
      <c r="U83" s="146">
        <v>937</v>
      </c>
      <c r="V83" s="114">
        <f t="shared" si="10"/>
        <v>0.65432960893854752</v>
      </c>
      <c r="W83" s="137">
        <v>743.7</v>
      </c>
      <c r="X83" s="114">
        <f t="shared" si="11"/>
        <v>0.51934357541899445</v>
      </c>
      <c r="Y83" s="94" t="e">
        <f>'ejecucion OAP'!W65</f>
        <v>#REF!</v>
      </c>
      <c r="Z83" s="94">
        <f>U83-Q83</f>
        <v>301.47344899999996</v>
      </c>
      <c r="AA83" s="94">
        <f>+W83-S83</f>
        <v>384.48999300000003</v>
      </c>
      <c r="AB83" s="152">
        <f>(G83-H83)</f>
        <v>0</v>
      </c>
      <c r="AC83" s="152">
        <f>(H83-J83)</f>
        <v>0</v>
      </c>
    </row>
    <row r="84" spans="2:31" ht="29.25" hidden="1" customHeight="1" outlineLevel="1" thickBot="1" x14ac:dyDescent="0.3">
      <c r="B84" s="59"/>
      <c r="E84" s="3"/>
      <c r="F84" s="91" t="s">
        <v>188</v>
      </c>
      <c r="G84" s="92">
        <f>('RESERVAS '!P39)/1000000</f>
        <v>70.168623999999994</v>
      </c>
      <c r="H84" s="92">
        <f>('RESERVAS '!Q39)/1000000</f>
        <v>70.168623999999994</v>
      </c>
      <c r="I84" s="93">
        <f>+H84/G84</f>
        <v>1</v>
      </c>
      <c r="J84" s="92">
        <f>('RESERVAS '!R39)/1000000</f>
        <v>70.168623999999994</v>
      </c>
      <c r="K84" s="92" t="e">
        <f>'ejecucion OAP'!E59</f>
        <v>#REF!</v>
      </c>
      <c r="L84" s="92" t="e">
        <f>'ejecucion OAP'!F59</f>
        <v>#REF!</v>
      </c>
      <c r="M84" s="92" t="e">
        <f>'ejecucion OAP'!G59</f>
        <v>#REF!</v>
      </c>
      <c r="N84" s="92">
        <f>'ejecucion OAP'!H59</f>
        <v>3258</v>
      </c>
      <c r="O84" s="92"/>
      <c r="P84" s="92" t="e">
        <f>'ejecucion OAP'!I59</f>
        <v>#REF!</v>
      </c>
      <c r="Q84" s="94">
        <f>'ejecucion OAP'!N59</f>
        <v>3066.8452022199999</v>
      </c>
      <c r="R84" s="93">
        <f>+Q84/N84</f>
        <v>0.94132756360343772</v>
      </c>
      <c r="S84" s="94">
        <f>'ejecucion OAP'!Q59</f>
        <v>1683.3482039999999</v>
      </c>
      <c r="T84" s="93">
        <f>+S84/N84</f>
        <v>0.51668146224677713</v>
      </c>
      <c r="U84" s="146">
        <v>3120</v>
      </c>
      <c r="V84" s="114">
        <f>+U84/N84</f>
        <v>0.9576427255985267</v>
      </c>
      <c r="W84" s="94">
        <v>1707.4808310000001</v>
      </c>
      <c r="X84" s="114">
        <f>+W84/N84</f>
        <v>0.524088652854512</v>
      </c>
      <c r="Y84" s="94" t="e">
        <f>'ejecucion OAP'!W59</f>
        <v>#REF!</v>
      </c>
      <c r="Z84" s="94">
        <f>+U84-Q84</f>
        <v>53.154797780000081</v>
      </c>
      <c r="AA84" s="94">
        <f>+W84-S84</f>
        <v>24.132627000000184</v>
      </c>
      <c r="AB84" s="152">
        <f>(G84-H84)</f>
        <v>0</v>
      </c>
      <c r="AC84" s="153">
        <f>(H84-J84)</f>
        <v>0</v>
      </c>
    </row>
    <row r="85" spans="2:31" ht="16.5" collapsed="1" thickBot="1" x14ac:dyDescent="0.3">
      <c r="B85" s="59"/>
      <c r="E85" s="3">
        <v>510608002</v>
      </c>
      <c r="F85" s="95" t="s">
        <v>201</v>
      </c>
      <c r="G85" s="83">
        <f>('RESERVAS '!P42)/1000000</f>
        <v>4.3680000000000003</v>
      </c>
      <c r="H85" s="83">
        <f>('RESERVAS '!Q42)/1000000</f>
        <v>4.3680000000000003</v>
      </c>
      <c r="I85" s="123">
        <f t="shared" si="22"/>
        <v>1</v>
      </c>
      <c r="J85" s="83">
        <f>('RESERVAS '!R42)/1000000</f>
        <v>4.3680000000000003</v>
      </c>
      <c r="K85" s="83" t="e">
        <f>'ejecucion OAP'!E63</f>
        <v>#REF!</v>
      </c>
      <c r="L85" s="83" t="e">
        <f>'ejecucion OAP'!F63</f>
        <v>#REF!</v>
      </c>
      <c r="M85" s="83" t="e">
        <f>'ejecucion OAP'!G63</f>
        <v>#REF!</v>
      </c>
      <c r="N85" s="83">
        <f>'ejecucion OAP'!H63</f>
        <v>4000</v>
      </c>
      <c r="O85" s="123">
        <f>+N85/N88</f>
        <v>6.6162166303398084E-3</v>
      </c>
      <c r="P85" s="83" t="e">
        <f>'ejecucion OAP'!I63</f>
        <v>#REF!</v>
      </c>
      <c r="Q85" s="83">
        <f>'ejecucion OAP'!N63</f>
        <v>3765.8366019999999</v>
      </c>
      <c r="R85" s="89">
        <f t="shared" si="8"/>
        <v>0.94145915049999995</v>
      </c>
      <c r="S85" s="83">
        <f>'ejecucion OAP'!Q63</f>
        <v>2674.9586871199999</v>
      </c>
      <c r="T85" s="89">
        <f t="shared" si="9"/>
        <v>0.66873967177999993</v>
      </c>
      <c r="U85" s="80">
        <v>3480</v>
      </c>
      <c r="V85" s="113">
        <f t="shared" si="10"/>
        <v>0.87</v>
      </c>
      <c r="W85" s="80">
        <v>2502.444446</v>
      </c>
      <c r="X85" s="113">
        <f t="shared" si="11"/>
        <v>0.62561111150000004</v>
      </c>
      <c r="Y85" s="90" t="e">
        <f>'ejecucion OAP'!W63</f>
        <v>#REF!</v>
      </c>
      <c r="Z85" s="149">
        <f>U85-Q85</f>
        <v>-285.83660199999986</v>
      </c>
      <c r="AA85" s="149">
        <f>+W85-S85</f>
        <v>-172.51424111999995</v>
      </c>
      <c r="AB85" s="90">
        <f>(G85-H85)</f>
        <v>0</v>
      </c>
      <c r="AC85" s="90">
        <f>(H85-J85)</f>
        <v>0</v>
      </c>
    </row>
    <row r="86" spans="2:31" ht="16.5" thickBot="1" x14ac:dyDescent="0.3">
      <c r="B86" s="59"/>
      <c r="E86" s="3">
        <v>213608013</v>
      </c>
      <c r="F86" s="95" t="s">
        <v>202</v>
      </c>
      <c r="G86" s="83">
        <f>('RESERVAS '!P32)/1000000</f>
        <v>131.90721500000001</v>
      </c>
      <c r="H86" s="83">
        <f>('RESERVAS '!Q32)/1000000</f>
        <v>131.90721500000001</v>
      </c>
      <c r="I86" s="123">
        <f t="shared" si="22"/>
        <v>1</v>
      </c>
      <c r="J86" s="83">
        <f>('RESERVAS '!R32)/1000000</f>
        <v>131.90721500000001</v>
      </c>
      <c r="K86" s="83" t="e">
        <f>'ejecucion OAP'!E51</f>
        <v>#REF!</v>
      </c>
      <c r="L86" s="83" t="e">
        <f>'ejecucion OAP'!F51</f>
        <v>#REF!</v>
      </c>
      <c r="M86" s="83" t="e">
        <f>'ejecucion OAP'!G51</f>
        <v>#REF!</v>
      </c>
      <c r="N86" s="83">
        <f>'ejecucion OAP'!H51</f>
        <v>2990</v>
      </c>
      <c r="O86" s="165">
        <f>+N86/N88</f>
        <v>4.945621931179007E-3</v>
      </c>
      <c r="P86" s="83" t="e">
        <f>'ejecucion OAP'!I51</f>
        <v>#REF!</v>
      </c>
      <c r="Q86" s="83">
        <f>'ejecucion OAP'!N51</f>
        <v>2453.61</v>
      </c>
      <c r="R86" s="89">
        <f t="shared" si="8"/>
        <v>0.82060535117056865</v>
      </c>
      <c r="S86" s="83">
        <f>'ejecucion OAP'!Q51</f>
        <v>1747.2810910000001</v>
      </c>
      <c r="T86" s="89">
        <f t="shared" si="9"/>
        <v>0.58437494682274249</v>
      </c>
      <c r="U86" s="135">
        <v>2440</v>
      </c>
      <c r="V86" s="113">
        <f t="shared" si="10"/>
        <v>0.81605351170568563</v>
      </c>
      <c r="W86" s="135">
        <v>1610</v>
      </c>
      <c r="X86" s="113">
        <f t="shared" si="11"/>
        <v>0.53846153846153844</v>
      </c>
      <c r="Y86" s="90" t="e">
        <f>'ejecucion OAP'!W51</f>
        <v>#REF!</v>
      </c>
      <c r="Z86" s="149">
        <f>U86-Q86</f>
        <v>-13.610000000000127</v>
      </c>
      <c r="AA86" s="149">
        <f>+W86-S86</f>
        <v>-137.28109100000006</v>
      </c>
      <c r="AB86" s="90">
        <f>(G86-H86)</f>
        <v>0</v>
      </c>
      <c r="AC86" s="90">
        <f>(H86-J86)</f>
        <v>0</v>
      </c>
    </row>
    <row r="87" spans="2:31" ht="15.75" x14ac:dyDescent="0.25">
      <c r="B87" s="59"/>
      <c r="E87" s="3">
        <v>320608001</v>
      </c>
      <c r="F87" s="95" t="s">
        <v>203</v>
      </c>
      <c r="G87" s="83"/>
      <c r="H87" s="83"/>
      <c r="I87" s="123">
        <v>0</v>
      </c>
      <c r="J87" s="83">
        <f>(0)/1000000</f>
        <v>0</v>
      </c>
      <c r="K87" s="83" t="e">
        <f>'ejecucion OAP'!E61</f>
        <v>#REF!</v>
      </c>
      <c r="L87" s="83" t="e">
        <f>'ejecucion OAP'!F61</f>
        <v>#REF!</v>
      </c>
      <c r="M87" s="83" t="e">
        <f>'ejecucion OAP'!G61</f>
        <v>#REF!</v>
      </c>
      <c r="N87" s="83">
        <f>'ejecucion OAP'!H61</f>
        <v>2500</v>
      </c>
      <c r="O87" s="165">
        <f>+N87/N88</f>
        <v>4.1351353939623799E-3</v>
      </c>
      <c r="P87" s="83" t="e">
        <f>'ejecucion OAP'!I61</f>
        <v>#REF!</v>
      </c>
      <c r="Q87" s="83">
        <f>'ejecucion OAP'!N61</f>
        <v>2398.5778213200001</v>
      </c>
      <c r="R87" s="89">
        <f t="shared" si="8"/>
        <v>0.95943112852800005</v>
      </c>
      <c r="S87" s="83">
        <f>'ejecucion OAP'!Q61</f>
        <v>1031.51475332</v>
      </c>
      <c r="T87" s="89">
        <f t="shared" si="9"/>
        <v>0.41260590132799996</v>
      </c>
      <c r="U87" s="135">
        <v>2500</v>
      </c>
      <c r="V87" s="113">
        <f t="shared" si="10"/>
        <v>1</v>
      </c>
      <c r="W87" s="135">
        <v>1513.49</v>
      </c>
      <c r="X87" s="113">
        <f t="shared" si="11"/>
        <v>0.60539600000000005</v>
      </c>
      <c r="Y87" s="90" t="e">
        <f>'ejecucion OAP'!W61</f>
        <v>#REF!</v>
      </c>
      <c r="Z87" s="143">
        <f>U87-Q87</f>
        <v>101.42217867999989</v>
      </c>
      <c r="AA87" s="142">
        <f>+W87-S87</f>
        <v>481.97524668000005</v>
      </c>
      <c r="AB87" s="90">
        <f>(G87-H87)</f>
        <v>0</v>
      </c>
      <c r="AC87" s="90">
        <f>(H87-J87)</f>
        <v>0</v>
      </c>
    </row>
    <row r="88" spans="2:31" ht="35.25" customHeight="1" thickBot="1" x14ac:dyDescent="0.3">
      <c r="E88" s="81"/>
      <c r="F88" s="99" t="s">
        <v>197</v>
      </c>
      <c r="G88" s="106">
        <f>G48+G58+G70+G76+G79+G82+G85+G86+G87</f>
        <v>155790.434136</v>
      </c>
      <c r="H88" s="106">
        <f>H48+H58+H70+H76+H79+H82+H85+H86+H87</f>
        <v>88568.203692000025</v>
      </c>
      <c r="I88" s="124">
        <f>+H88/G88</f>
        <v>0.56850861340230208</v>
      </c>
      <c r="J88" s="106">
        <f>J48+J58+J70+J76+J79+J82+J85+J86+J87</f>
        <v>75344.393975000014</v>
      </c>
      <c r="K88" s="106" t="e">
        <f>K48+K58+K70+K76+K79+K82+K85+K86+K87</f>
        <v>#REF!</v>
      </c>
      <c r="L88" s="106" t="e">
        <f t="shared" ref="L88:M88" si="26">L48+L58+L70+L76+L79+L82+L85+L86+L87</f>
        <v>#REF!</v>
      </c>
      <c r="M88" s="106" t="e">
        <f t="shared" si="26"/>
        <v>#REF!</v>
      </c>
      <c r="N88" s="106">
        <f>N48+N58+N70+N76+N79+N82+N85+N86+N87</f>
        <v>604575.12555699982</v>
      </c>
      <c r="O88" s="124">
        <f>+N88/N94</f>
        <v>0.64541177449499332</v>
      </c>
      <c r="P88" s="106" t="e">
        <f>P48+P58+P70+P76+P79+P82+P85+P86+P87</f>
        <v>#REF!</v>
      </c>
      <c r="Q88" s="106">
        <f>Q48+Q58+Q70+Q76+Q79+Q82+Q85+Q86+Q87</f>
        <v>531958.53375182021</v>
      </c>
      <c r="R88" s="100">
        <f t="shared" si="8"/>
        <v>0.87988822441499326</v>
      </c>
      <c r="S88" s="106">
        <f>S48+S58+S70+S76+S79+S82+S85+S86+S87</f>
        <v>181733.63630072001</v>
      </c>
      <c r="T88" s="100">
        <f>+S88/N88</f>
        <v>0.30059727669623754</v>
      </c>
      <c r="U88" s="106">
        <f>U48+U58+U70+U76+U79+U82+U85+U86+U87</f>
        <v>572738.51035098988</v>
      </c>
      <c r="V88" s="115">
        <f t="shared" si="10"/>
        <v>0.94734051425506693</v>
      </c>
      <c r="W88" s="106">
        <f>W48+W58+W70+W76+W79+W82+W85+W86+W87</f>
        <v>319087.08517639828</v>
      </c>
      <c r="X88" s="115">
        <f t="shared" si="11"/>
        <v>0.52778731986768535</v>
      </c>
      <c r="Y88" s="106" t="e">
        <f t="shared" ref="Y88:AB88" si="27">Y48+Y58+Y70+Y76+Y79+Y82+Y85+Y86+Y87</f>
        <v>#REF!</v>
      </c>
      <c r="Z88" s="144">
        <f>Z48+Z58+Z70+Z76+Z79+Z82+Z85+Z86+Z87</f>
        <v>40779.976599169982</v>
      </c>
      <c r="AA88" s="161">
        <f t="shared" si="27"/>
        <v>137353.44887567832</v>
      </c>
      <c r="AB88" s="160">
        <f t="shared" si="27"/>
        <v>67222.230443999986</v>
      </c>
      <c r="AC88" s="106">
        <f>+AC87+AC86+AC85+AC83+AC79+AC76+AC70+AC58+AC48</f>
        <v>13223.809717000004</v>
      </c>
    </row>
    <row r="89" spans="2:31" ht="24.75" customHeight="1" thickBot="1" x14ac:dyDescent="0.3">
      <c r="F89" s="99" t="s">
        <v>204</v>
      </c>
      <c r="G89" s="107">
        <f>SUM(G90:G93)</f>
        <v>1429.127534</v>
      </c>
      <c r="H89" s="107">
        <f>SUM(H90:H93)</f>
        <v>1409.0110970000001</v>
      </c>
      <c r="I89" s="124">
        <f>+H89/G89</f>
        <v>0.98592397352831362</v>
      </c>
      <c r="J89" s="107">
        <f>SUM(J90:J93)</f>
        <v>1409.0110970000001</v>
      </c>
      <c r="K89" s="107" t="e">
        <f>SUM(K90:K93)</f>
        <v>#REF!</v>
      </c>
      <c r="L89" s="107" t="e">
        <f t="shared" ref="L89:M89" si="28">SUM(L90:L93)</f>
        <v>#REF!</v>
      </c>
      <c r="M89" s="107" t="e">
        <f t="shared" si="28"/>
        <v>#REF!</v>
      </c>
      <c r="N89" s="107">
        <f>SUM(N90:N93)</f>
        <v>332152.634066</v>
      </c>
      <c r="O89" s="164">
        <f>+N89/N94</f>
        <v>0.35458822550500674</v>
      </c>
      <c r="P89" s="107" t="e">
        <f>SUM(P90:P93)</f>
        <v>#REF!</v>
      </c>
      <c r="Q89" s="107">
        <f>SUM(Q90:Q93)</f>
        <v>228318.17467699997</v>
      </c>
      <c r="R89" s="102">
        <f>+Q89/N89</f>
        <v>0.68738932424552823</v>
      </c>
      <c r="S89" s="107">
        <f>SUM(S90:S93)</f>
        <v>218151.45196799998</v>
      </c>
      <c r="T89" s="102">
        <f t="shared" si="9"/>
        <v>0.65678073751073263</v>
      </c>
      <c r="U89" s="107">
        <f>SUM(U90:U93)</f>
        <v>233115.29484766145</v>
      </c>
      <c r="V89" s="147">
        <f t="shared" si="10"/>
        <v>0.70183184156637024</v>
      </c>
      <c r="W89" s="107">
        <f>SUM(W90:W93)</f>
        <v>219950.87585952156</v>
      </c>
      <c r="X89" s="147">
        <f t="shared" si="11"/>
        <v>0.6621981983614692</v>
      </c>
      <c r="Y89" s="107" t="e">
        <f>SUM(Y90:Y93)</f>
        <v>#REF!</v>
      </c>
      <c r="Z89" s="162">
        <f>SUM(Z90:Z93)</f>
        <v>4797.1201706614593</v>
      </c>
      <c r="AA89" s="145">
        <f>SUM(AA90:AA93)</f>
        <v>1799.4238915215847</v>
      </c>
      <c r="AB89" s="107">
        <f>AB90+AB91</f>
        <v>20.116436999999905</v>
      </c>
      <c r="AC89" s="155">
        <f>AC90+AC91+AC92+AC93</f>
        <v>0</v>
      </c>
    </row>
    <row r="90" spans="2:31" ht="21.75" customHeight="1" thickBot="1" x14ac:dyDescent="0.3">
      <c r="F90" s="103" t="s">
        <v>239</v>
      </c>
      <c r="G90" s="92">
        <f>('RESERVAS '!P5)/1000000</f>
        <v>0.66666700000000001</v>
      </c>
      <c r="H90" s="92">
        <f>('RESERVAS '!Q5)/1000000</f>
        <v>0.66666700000000001</v>
      </c>
      <c r="I90" s="93">
        <f>+H90/G90</f>
        <v>1</v>
      </c>
      <c r="J90" s="92">
        <f>('RESERVAS '!R5)/1000000</f>
        <v>0.66666700000000001</v>
      </c>
      <c r="K90" s="92" t="e">
        <f>'ejecucion OAP'!E5+'ejecucion OAP'!E6+'ejecucion OAP'!E7+'ejecucion OAP'!E8+'ejecucion OAP'!E9+'ejecucion OAP'!E10+'ejecucion OAP'!E11+'ejecucion OAP'!E12</f>
        <v>#REF!</v>
      </c>
      <c r="L90" s="92" t="e">
        <f>'ejecucion OAP'!F5+'ejecucion OAP'!F6+'ejecucion OAP'!F7+'ejecucion OAP'!F8+'ejecucion OAP'!F9+'ejecucion OAP'!F10+'ejecucion OAP'!F11+'ejecucion OAP'!F12</f>
        <v>#REF!</v>
      </c>
      <c r="M90" s="92" t="e">
        <f>'ejecucion OAP'!G5+'ejecucion OAP'!G6+'ejecucion OAP'!G7+'ejecucion OAP'!G8+'ejecucion OAP'!G9+'ejecucion OAP'!G10+'ejecucion OAP'!G11+'ejecucion OAP'!G12</f>
        <v>#REF!</v>
      </c>
      <c r="N90" s="92">
        <f>'ejecucion OAP'!H5+'ejecucion OAP'!H6+'ejecucion OAP'!H7+'ejecucion OAP'!H8+'ejecucion OAP'!H9+'ejecucion OAP'!H10+'ejecucion OAP'!H11+'ejecucion OAP'!H12</f>
        <v>255094.72706599999</v>
      </c>
      <c r="O90" s="93">
        <f>+N90/N89</f>
        <v>0.76800452834979382</v>
      </c>
      <c r="P90" s="116" t="e">
        <f>'ejecucion OAP'!I5+'ejecucion OAP'!I6+'ejecucion OAP'!I7+'ejecucion OAP'!I8+'ejecucion OAP'!I9+'ejecucion OAP'!I10+'ejecucion OAP'!I12</f>
        <v>#REF!</v>
      </c>
      <c r="Q90" s="92">
        <f>+'ejecucion OAP'!N5+'ejecucion OAP'!N6+'ejecucion OAP'!N7+'ejecucion OAP'!N8+'ejecucion OAP'!N9+'ejecucion OAP'!N10+'ejecucion OAP'!N12+'ejecucion OAP'!H11</f>
        <v>169742.99183300001</v>
      </c>
      <c r="R90" s="93">
        <f t="shared" si="8"/>
        <v>0.66541160527039367</v>
      </c>
      <c r="S90" s="92">
        <f>+'ejecucion OAP'!Q5+'ejecucion OAP'!Q6+'ejecucion OAP'!Q7+'ejecucion OAP'!Q8+'ejecucion OAP'!Q9+'ejecucion OAP'!Q10+'ejecucion OAP'!Q12+'ejecucion OAP'!Q11</f>
        <v>166950.46397399998</v>
      </c>
      <c r="T90" s="93">
        <f t="shared" si="9"/>
        <v>0.65446458221304327</v>
      </c>
      <c r="U90" s="94">
        <v>174955.56983069336</v>
      </c>
      <c r="V90" s="114">
        <f t="shared" si="10"/>
        <v>0.68584549685900631</v>
      </c>
      <c r="W90" s="94">
        <v>166641.00754505047</v>
      </c>
      <c r="X90" s="114">
        <f t="shared" si="11"/>
        <v>0.65325147823198981</v>
      </c>
      <c r="Y90" s="94" t="e">
        <f>'ejecucion OAP'!W5+'ejecucion OAP'!W6+'ejecucion OAP'!W7+'ejecucion OAP'!W8+'ejecucion OAP'!W9+'ejecucion OAP'!W10+'ejecucion OAP'!W12</f>
        <v>#REF!</v>
      </c>
      <c r="Z90" s="158">
        <f>U90-Q90</f>
        <v>5212.5779976933554</v>
      </c>
      <c r="AA90" s="149">
        <f>W90-S90</f>
        <v>-309.45642894951743</v>
      </c>
      <c r="AB90" s="92">
        <v>0</v>
      </c>
      <c r="AC90" s="92">
        <f>(H90-J90)</f>
        <v>0</v>
      </c>
    </row>
    <row r="91" spans="2:31" ht="22.5" customHeight="1" thickBot="1" x14ac:dyDescent="0.3">
      <c r="F91" s="103" t="s">
        <v>240</v>
      </c>
      <c r="G91" s="92">
        <f>('RESERVAS '!P6)/1000000</f>
        <v>1428.460867</v>
      </c>
      <c r="H91" s="92">
        <f>('RESERVAS '!Q6)/1000000</f>
        <v>1408.3444300000001</v>
      </c>
      <c r="I91" s="93">
        <f>+H91/G91</f>
        <v>0.98591740420425533</v>
      </c>
      <c r="J91" s="92">
        <f>('RESERVAS '!R6)/1000000</f>
        <v>1408.3444300000001</v>
      </c>
      <c r="K91" s="92" t="e">
        <f>+'ejecucion OAP'!E13+'ejecucion OAP'!E14</f>
        <v>#REF!</v>
      </c>
      <c r="L91" s="92" t="e">
        <f>+'ejecucion OAP'!F13+'ejecucion OAP'!F14</f>
        <v>#REF!</v>
      </c>
      <c r="M91" s="92" t="e">
        <f>+'ejecucion OAP'!G13+'ejecucion OAP'!G14</f>
        <v>#REF!</v>
      </c>
      <c r="N91" s="92">
        <f>+'ejecucion OAP'!H13+'ejecucion OAP'!H14</f>
        <v>34574.906999999999</v>
      </c>
      <c r="O91" s="93">
        <f>+N91/N89</f>
        <v>0.10409343010999525</v>
      </c>
      <c r="P91" s="92" t="e">
        <f>'ejecucion OAP'!I13+'ejecucion OAP'!I14</f>
        <v>#REF!</v>
      </c>
      <c r="Q91" s="92">
        <f>+'ejecucion OAP'!N13+'ejecucion OAP'!N14</f>
        <v>27194.106594999997</v>
      </c>
      <c r="R91" s="93">
        <f t="shared" si="8"/>
        <v>0.78652725211957908</v>
      </c>
      <c r="S91" s="92">
        <f>+'ejecucion OAP'!Q13+'ejecucion OAP'!Q14</f>
        <v>19823.841346999998</v>
      </c>
      <c r="T91" s="93">
        <f t="shared" si="9"/>
        <v>0.57335920952730246</v>
      </c>
      <c r="U91" s="94">
        <v>25556.981820468001</v>
      </c>
      <c r="V91" s="114">
        <f t="shared" si="10"/>
        <v>0.73917716743151329</v>
      </c>
      <c r="W91" s="94">
        <v>20707.125117971002</v>
      </c>
      <c r="X91" s="114">
        <f t="shared" si="11"/>
        <v>0.59890616966723875</v>
      </c>
      <c r="Y91" s="94" t="e">
        <f>'ejecucion OAP'!W13+'ejecucion OAP'!W14</f>
        <v>#REF!</v>
      </c>
      <c r="Z91" s="149">
        <f>U91-Q91</f>
        <v>-1637.1247745319961</v>
      </c>
      <c r="AA91" s="158">
        <f>W91-S91</f>
        <v>883.28377097100383</v>
      </c>
      <c r="AB91" s="92">
        <f>(G91-H91)</f>
        <v>20.116436999999905</v>
      </c>
      <c r="AC91" s="92">
        <f>(H91-J91)</f>
        <v>0</v>
      </c>
    </row>
    <row r="92" spans="2:31" ht="17.25" customHeight="1" thickBot="1" x14ac:dyDescent="0.3">
      <c r="F92" s="103" t="s">
        <v>171</v>
      </c>
      <c r="G92" s="92">
        <v>0</v>
      </c>
      <c r="H92" s="92">
        <v>0</v>
      </c>
      <c r="I92" s="93">
        <v>0</v>
      </c>
      <c r="J92" s="92">
        <v>0</v>
      </c>
      <c r="K92" s="92" t="e">
        <f>'ejecucion OAP'!E15+'ejecucion OAP'!E16+'ejecucion OAP'!E17+'ejecucion OAP'!E18</f>
        <v>#REF!</v>
      </c>
      <c r="L92" s="92" t="e">
        <f>'ejecucion OAP'!F15+'ejecucion OAP'!F16+'ejecucion OAP'!F17+'ejecucion OAP'!F18</f>
        <v>#REF!</v>
      </c>
      <c r="M92" s="92" t="e">
        <f>'ejecucion OAP'!G15+'ejecucion OAP'!G16+'ejecucion OAP'!G17+'ejecucion OAP'!G18</f>
        <v>#REF!</v>
      </c>
      <c r="N92" s="92">
        <f>'ejecucion OAP'!H15+'ejecucion OAP'!H16+'ejecucion OAP'!H17+'ejecucion OAP'!H18</f>
        <v>21222.400000000001</v>
      </c>
      <c r="O92" s="93">
        <f>+N92/N89</f>
        <v>6.3893517086433912E-2</v>
      </c>
      <c r="P92" s="92" t="e">
        <f>'ejecucion OAP'!I15+'ejecucion OAP'!I16+'ejecucion OAP'!I17+'ejecucion OAP'!I18</f>
        <v>#REF!</v>
      </c>
      <c r="Q92" s="92">
        <f>'ejecucion OAP'!N15+'ejecucion OAP'!N16+'ejecucion OAP'!N17+'ejecucion OAP'!N18</f>
        <v>11661.106373000001</v>
      </c>
      <c r="R92" s="93">
        <f t="shared" si="8"/>
        <v>0.54947161362522612</v>
      </c>
      <c r="S92" s="92">
        <f>'ejecucion OAP'!Q15+'ejecucion OAP'!Q16+'ejecucion OAP'!Q17+'ejecucion OAP'!Q18</f>
        <v>11659.770375</v>
      </c>
      <c r="T92" s="93">
        <f t="shared" si="9"/>
        <v>0.54940866136723454</v>
      </c>
      <c r="U92" s="94">
        <v>12919.414796500101</v>
      </c>
      <c r="V92" s="114">
        <f t="shared" si="10"/>
        <v>0.60876313689781081</v>
      </c>
      <c r="W92" s="94">
        <v>12919.414796500101</v>
      </c>
      <c r="X92" s="114">
        <f t="shared" si="11"/>
        <v>0.60876313689781081</v>
      </c>
      <c r="Y92" s="94" t="e">
        <f>'ejecucion OAP'!W15+'ejecucion OAP'!W16+'ejecucion OAP'!W17+'ejecucion OAP'!W18+'ejecucion OAP'!W19</f>
        <v>#REF!</v>
      </c>
      <c r="Z92" s="158">
        <f>U92-Q92</f>
        <v>1258.3084235001006</v>
      </c>
      <c r="AA92" s="158">
        <f>W92-S92</f>
        <v>1259.6444215001011</v>
      </c>
      <c r="AB92" s="92">
        <f>(G92-H92)</f>
        <v>0</v>
      </c>
      <c r="AC92" s="92">
        <f>(H92-J92)</f>
        <v>0</v>
      </c>
    </row>
    <row r="93" spans="2:31" ht="17.25" customHeight="1" thickBot="1" x14ac:dyDescent="0.3">
      <c r="F93" s="103" t="s">
        <v>172</v>
      </c>
      <c r="G93" s="92">
        <v>0</v>
      </c>
      <c r="H93" s="92">
        <v>0</v>
      </c>
      <c r="I93" s="93">
        <v>0</v>
      </c>
      <c r="J93" s="92">
        <v>0</v>
      </c>
      <c r="K93" s="92" t="e">
        <f>+'ejecucion OAP'!E19+'ejecucion OAP'!E20</f>
        <v>#REF!</v>
      </c>
      <c r="L93" s="92" t="e">
        <f>+'ejecucion OAP'!F19+'ejecucion OAP'!F20</f>
        <v>#REF!</v>
      </c>
      <c r="M93" s="92" t="e">
        <f>+'ejecucion OAP'!G19+'ejecucion OAP'!G20</f>
        <v>#REF!</v>
      </c>
      <c r="N93" s="92">
        <f>+'ejecucion OAP'!H19+'ejecucion OAP'!H20</f>
        <v>21260.600000000002</v>
      </c>
      <c r="O93" s="93">
        <f>+N93/N89</f>
        <v>6.4008524453776999E-2</v>
      </c>
      <c r="P93" s="92" t="e">
        <f>'ejecucion OAP'!I19+'ejecucion OAP'!I20</f>
        <v>#REF!</v>
      </c>
      <c r="Q93" s="92">
        <f>+'ejecucion OAP'!N19+'ejecucion OAP'!N20</f>
        <v>19719.969875999999</v>
      </c>
      <c r="R93" s="93">
        <f t="shared" si="8"/>
        <v>0.92753590566587951</v>
      </c>
      <c r="S93" s="92">
        <f>+'ejecucion OAP'!Q19+'ejecucion OAP'!Q20</f>
        <v>19717.376272000001</v>
      </c>
      <c r="T93" s="93">
        <f t="shared" si="9"/>
        <v>0.92741391456496991</v>
      </c>
      <c r="U93" s="94">
        <v>19683.328399999999</v>
      </c>
      <c r="V93" s="114">
        <f t="shared" si="10"/>
        <v>0.9258124606078848</v>
      </c>
      <c r="W93" s="94">
        <v>19683.328399999999</v>
      </c>
      <c r="X93" s="114">
        <f t="shared" si="11"/>
        <v>0.9258124606078848</v>
      </c>
      <c r="Y93" s="94" t="e">
        <f>'ejecucion OAP'!W19+'ejecucion OAP'!W20</f>
        <v>#REF!</v>
      </c>
      <c r="Z93" s="149">
        <f>U93-Q93</f>
        <v>-36.641476000000694</v>
      </c>
      <c r="AA93" s="149">
        <f>W93-S93</f>
        <v>-34.047872000002826</v>
      </c>
      <c r="AB93" s="92">
        <f>(G93-H93)</f>
        <v>0</v>
      </c>
      <c r="AC93" s="92">
        <f>(H93-J93)</f>
        <v>0</v>
      </c>
    </row>
    <row r="94" spans="2:31" ht="40.5" customHeight="1" thickBot="1" x14ac:dyDescent="0.3">
      <c r="E94" s="122">
        <v>1000000</v>
      </c>
      <c r="F94" s="104" t="s">
        <v>205</v>
      </c>
      <c r="G94" s="107">
        <f>+G89+G88</f>
        <v>157219.56167</v>
      </c>
      <c r="H94" s="107">
        <f>+H89+H88</f>
        <v>89977.21478900002</v>
      </c>
      <c r="I94" s="105">
        <f>+H94/G94</f>
        <v>0.57230292358822366</v>
      </c>
      <c r="J94" s="107">
        <f t="shared" ref="J94:Q94" si="29">+J89+J88</f>
        <v>76753.405072000009</v>
      </c>
      <c r="K94" s="107" t="e">
        <f t="shared" si="29"/>
        <v>#REF!</v>
      </c>
      <c r="L94" s="107" t="e">
        <f t="shared" si="29"/>
        <v>#REF!</v>
      </c>
      <c r="M94" s="107" t="e">
        <f t="shared" si="29"/>
        <v>#REF!</v>
      </c>
      <c r="N94" s="107">
        <f t="shared" si="29"/>
        <v>936727.75962299982</v>
      </c>
      <c r="O94" s="164">
        <f t="shared" si="29"/>
        <v>1</v>
      </c>
      <c r="P94" s="107" t="e">
        <f t="shared" si="29"/>
        <v>#REF!</v>
      </c>
      <c r="Q94" s="107">
        <f t="shared" si="29"/>
        <v>760276.70842882013</v>
      </c>
      <c r="R94" s="105">
        <f t="shared" si="8"/>
        <v>0.81163038099223717</v>
      </c>
      <c r="S94" s="107">
        <f>+S89+S88</f>
        <v>399885.08826871996</v>
      </c>
      <c r="T94" s="105">
        <f t="shared" si="9"/>
        <v>0.42689573802068143</v>
      </c>
      <c r="U94" s="107">
        <f>+U89+U88</f>
        <v>805853.80519865127</v>
      </c>
      <c r="V94" s="133">
        <f t="shared" si="10"/>
        <v>0.86028602966029244</v>
      </c>
      <c r="W94" s="107">
        <f>+W89+W88</f>
        <v>539037.96103591984</v>
      </c>
      <c r="X94" s="133">
        <f>W94/N94</f>
        <v>0.57544783476136518</v>
      </c>
      <c r="Y94" s="107" t="e">
        <f>+Y89+Y88</f>
        <v>#REF!</v>
      </c>
      <c r="Z94" s="107">
        <f>+Z89+Z88</f>
        <v>45577.096769831442</v>
      </c>
      <c r="AA94" s="107">
        <f>+AA89+AA88</f>
        <v>139152.87276719991</v>
      </c>
      <c r="AB94" s="101">
        <f>AB89+AB88</f>
        <v>67242.34688099999</v>
      </c>
      <c r="AC94" s="101">
        <f>AC89+AC88</f>
        <v>13223.809717000004</v>
      </c>
    </row>
    <row r="95" spans="2:31" ht="16.5" customHeight="1" x14ac:dyDescent="0.25">
      <c r="U95" s="168">
        <f>2000+4923+1226</f>
        <v>8149</v>
      </c>
      <c r="W95" s="168">
        <v>4923</v>
      </c>
      <c r="Z95" s="82"/>
      <c r="AA95" s="82"/>
      <c r="AB95" s="82"/>
      <c r="AC95" s="82"/>
      <c r="AD95" s="111"/>
      <c r="AE95" s="82"/>
    </row>
    <row r="96" spans="2:31" ht="26.25" customHeight="1" x14ac:dyDescent="0.25">
      <c r="F96" s="132" t="s">
        <v>244</v>
      </c>
      <c r="G96" s="128" t="s">
        <v>168</v>
      </c>
      <c r="H96" s="128" t="s">
        <v>194</v>
      </c>
      <c r="I96" s="228" t="s">
        <v>169</v>
      </c>
      <c r="J96" s="228"/>
      <c r="K96" s="128" t="s">
        <v>194</v>
      </c>
      <c r="Q96" s="82"/>
      <c r="R96" s="127"/>
      <c r="T96" s="127"/>
      <c r="U96" s="82"/>
      <c r="V96" s="127"/>
      <c r="W96" s="82"/>
      <c r="X96" s="127"/>
      <c r="Y96" s="82"/>
      <c r="Z96" s="19"/>
      <c r="AA96" s="82"/>
      <c r="AB96" s="82"/>
      <c r="AC96" s="82"/>
    </row>
    <row r="97" spans="6:27" ht="21" customHeight="1" x14ac:dyDescent="0.25">
      <c r="F97" s="87" t="s">
        <v>197</v>
      </c>
      <c r="G97" s="125">
        <f>Q88</f>
        <v>531958.53375182021</v>
      </c>
      <c r="H97" s="139" t="e">
        <f>+G97/(N88-P88)</f>
        <v>#REF!</v>
      </c>
      <c r="I97" s="224">
        <f>S88</f>
        <v>181733.63630072001</v>
      </c>
      <c r="J97" s="225"/>
      <c r="K97" s="139" t="e">
        <f>I97/(N88-P88)</f>
        <v>#REF!</v>
      </c>
      <c r="P97" s="82"/>
      <c r="Q97" s="82"/>
      <c r="S97" s="82"/>
      <c r="U97" s="82"/>
      <c r="V97" s="127"/>
      <c r="X97" s="127"/>
      <c r="Y97" s="82"/>
      <c r="Z97" s="19"/>
      <c r="AA97" s="82"/>
    </row>
    <row r="98" spans="6:27" ht="23.25" customHeight="1" thickBot="1" x14ac:dyDescent="0.3">
      <c r="F98" s="87" t="s">
        <v>259</v>
      </c>
      <c r="G98" s="125">
        <f>Q89</f>
        <v>228318.17467699997</v>
      </c>
      <c r="H98" s="139" t="e">
        <f>G98/(N89-P89)</f>
        <v>#REF!</v>
      </c>
      <c r="I98" s="224">
        <f>S89</f>
        <v>218151.45196799998</v>
      </c>
      <c r="J98" s="225"/>
      <c r="K98" s="139" t="e">
        <f>I98/(N89-P89)</f>
        <v>#REF!</v>
      </c>
      <c r="Q98" s="82"/>
      <c r="S98" s="82"/>
      <c r="U98" s="82"/>
      <c r="V98" s="19"/>
      <c r="W98" s="19"/>
      <c r="Y98" s="82"/>
      <c r="AA98" s="82"/>
    </row>
    <row r="99" spans="6:27" ht="20.25" customHeight="1" thickBot="1" x14ac:dyDescent="0.3">
      <c r="F99" s="87" t="s">
        <v>205</v>
      </c>
      <c r="G99" s="126">
        <f>+G98+G97</f>
        <v>760276.70842882013</v>
      </c>
      <c r="H99" s="105" t="e">
        <f>+G99/(N94-P94)</f>
        <v>#REF!</v>
      </c>
      <c r="I99" s="226">
        <f>+I98+I97</f>
        <v>399885.08826871996</v>
      </c>
      <c r="J99" s="227"/>
      <c r="K99" s="105" t="e">
        <f>I99/(N94-P94)</f>
        <v>#REF!</v>
      </c>
      <c r="Q99" s="82"/>
      <c r="S99" s="19"/>
      <c r="U99" s="82"/>
    </row>
    <row r="100" spans="6:27" x14ac:dyDescent="0.25">
      <c r="S100" s="19"/>
    </row>
    <row r="101" spans="6:27" x14ac:dyDescent="0.25">
      <c r="Q101" s="82"/>
      <c r="R101" s="82"/>
      <c r="S101" s="59"/>
      <c r="T101" s="82"/>
      <c r="U101" s="82"/>
    </row>
    <row r="102" spans="6:27" x14ac:dyDescent="0.25">
      <c r="G102" s="82"/>
      <c r="H102" s="82"/>
      <c r="Q102" s="19"/>
      <c r="S102" s="19"/>
      <c r="U102" s="82"/>
    </row>
    <row r="103" spans="6:27" x14ac:dyDescent="0.25">
      <c r="G103" s="82"/>
      <c r="H103" s="82"/>
      <c r="Q103" s="19"/>
      <c r="S103" s="19"/>
    </row>
    <row r="104" spans="6:27" x14ac:dyDescent="0.25">
      <c r="G104" s="129"/>
      <c r="H104" s="82"/>
      <c r="J104" s="82"/>
      <c r="K104" s="82"/>
      <c r="L104" s="82"/>
      <c r="M104" s="82"/>
      <c r="N104" s="86"/>
      <c r="O104" s="86"/>
      <c r="Q104" s="19"/>
      <c r="S104" s="19"/>
    </row>
  </sheetData>
  <mergeCells count="24">
    <mergeCell ref="N45:T45"/>
    <mergeCell ref="I97:J97"/>
    <mergeCell ref="I98:J98"/>
    <mergeCell ref="I99:J99"/>
    <mergeCell ref="I96:J96"/>
    <mergeCell ref="N46:N47"/>
    <mergeCell ref="P46:P47"/>
    <mergeCell ref="Q46:T46"/>
    <mergeCell ref="O46:O47"/>
    <mergeCell ref="K46:K47"/>
    <mergeCell ref="L46:L47"/>
    <mergeCell ref="M46:M47"/>
    <mergeCell ref="A1:D2"/>
    <mergeCell ref="F1:F2"/>
    <mergeCell ref="G45:J45"/>
    <mergeCell ref="E46:E47"/>
    <mergeCell ref="F46:F47"/>
    <mergeCell ref="G46:G47"/>
    <mergeCell ref="H46:J46"/>
    <mergeCell ref="AB46:AC46"/>
    <mergeCell ref="U45:AA45"/>
    <mergeCell ref="AB45:AC45"/>
    <mergeCell ref="U46:X46"/>
    <mergeCell ref="Y46:AA46"/>
  </mergeCells>
  <conditionalFormatting sqref="B7 B13:B14 B16:B19 B21:C25 D14:E32 B27:B30 A4:A32 F4:F32 A33:F33">
    <cfRule type="expression" dxfId="29" priority="23">
      <formula>MOD(ROW(),2)=0</formula>
    </cfRule>
  </conditionalFormatting>
  <conditionalFormatting sqref="D4:E11">
    <cfRule type="expression" dxfId="28" priority="24">
      <formula>MOD(ROW(),2)=0</formula>
    </cfRule>
  </conditionalFormatting>
  <conditionalFormatting sqref="B5">
    <cfRule type="expression" dxfId="27" priority="21">
      <formula>MOD(ROW(),2)=0</formula>
    </cfRule>
  </conditionalFormatting>
  <conditionalFormatting sqref="B4">
    <cfRule type="expression" dxfId="26" priority="22">
      <formula>MOD(ROW(),2)=0</formula>
    </cfRule>
  </conditionalFormatting>
  <conditionalFormatting sqref="B6">
    <cfRule type="expression" dxfId="25" priority="20">
      <formula>MOD(ROW(),2)=0</formula>
    </cfRule>
  </conditionalFormatting>
  <conditionalFormatting sqref="B15">
    <cfRule type="expression" dxfId="24" priority="19">
      <formula>MOD(ROW(),2)=0</formula>
    </cfRule>
  </conditionalFormatting>
  <conditionalFormatting sqref="B8 B10">
    <cfRule type="expression" dxfId="23" priority="18">
      <formula>MOD(ROW(),2)=0</formula>
    </cfRule>
  </conditionalFormatting>
  <conditionalFormatting sqref="B9 B11">
    <cfRule type="expression" dxfId="22" priority="17">
      <formula>MOD(ROW(),2)=0</formula>
    </cfRule>
  </conditionalFormatting>
  <conditionalFormatting sqref="B26 B20 B32">
    <cfRule type="expression" dxfId="21" priority="16">
      <formula>MOD(ROW(),2)=0</formula>
    </cfRule>
  </conditionalFormatting>
  <conditionalFormatting sqref="B31">
    <cfRule type="expression" dxfId="20" priority="15">
      <formula>MOD(ROW(),2)=0</formula>
    </cfRule>
  </conditionalFormatting>
  <conditionalFormatting sqref="B12">
    <cfRule type="expression" dxfId="19" priority="14">
      <formula>MOD(ROW(),2)=0</formula>
    </cfRule>
  </conditionalFormatting>
  <conditionalFormatting sqref="A3">
    <cfRule type="expression" dxfId="18" priority="6">
      <formula>MOD(ROW(),2)=0</formula>
    </cfRule>
    <cfRule type="expression" dxfId="17" priority="7">
      <formula>MOD(ROW(),2)=1</formula>
    </cfRule>
  </conditionalFormatting>
  <conditionalFormatting sqref="D13:E13">
    <cfRule type="expression" dxfId="16" priority="4">
      <formula>MOD(ROW(),2)=0</formula>
    </cfRule>
  </conditionalFormatting>
  <conditionalFormatting sqref="D12:E12">
    <cfRule type="expression" dxfId="15" priority="5">
      <formula>MOD(ROW(),2)=0</formula>
    </cfRule>
  </conditionalFormatting>
  <pageMargins left="0.7" right="0.7" top="0.75" bottom="0.75" header="0.3" footer="0.3"/>
  <pageSetup orientation="portrait" r:id="rId1"/>
  <ignoredErrors>
    <ignoredError sqref="R56:R74 V56:V74 X56:X74 R94 X48:X49 V48 R48:R49 X51:X54 V51:V54 R51:R54 I48 I58 I70 I76 I79 T48 T58 T70 T76 T79 AB76:AC76 AB58:AC58 AB79:AC79 H98 AB70:AC70 Z70 Z76 Z58 AA70 AA58 AA76 R75:R79 V75:V79 X75:X79 R82 T82 V82 Z82 Z84 AB82:AC82 I82 X82 O48 O58 O70 O76 O79 O82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4"/>
  <sheetViews>
    <sheetView topLeftCell="H45" zoomScale="80" zoomScaleNormal="80" workbookViewId="0">
      <pane ySplit="3" topLeftCell="A48" activePane="bottomLeft" state="frozen"/>
      <selection activeCell="U48" sqref="U48"/>
      <selection pane="bottomLeft" activeCell="S98" sqref="S98"/>
    </sheetView>
  </sheetViews>
  <sheetFormatPr baseColWidth="10" defaultRowHeight="15" outlineLevelRow="1" x14ac:dyDescent="0.25"/>
  <cols>
    <col min="1" max="1" width="6.5703125" style="1" hidden="1" customWidth="1"/>
    <col min="2" max="2" width="12.7109375" style="1" hidden="1" customWidth="1"/>
    <col min="3" max="3" width="33.28515625" style="1" hidden="1" customWidth="1"/>
    <col min="4" max="4" width="19" style="1" hidden="1" customWidth="1"/>
    <col min="5" max="5" width="9.85546875" style="1" hidden="1" customWidth="1"/>
    <col min="6" max="6" width="52.42578125" style="1" customWidth="1"/>
    <col min="7" max="7" width="20.5703125" style="1" customWidth="1"/>
    <col min="8" max="8" width="22" style="1" customWidth="1"/>
    <col min="9" max="9" width="9" style="1" customWidth="1"/>
    <col min="10" max="13" width="15.85546875" style="1" customWidth="1"/>
    <col min="14" max="14" width="17" style="1" customWidth="1"/>
    <col min="15" max="15" width="14.28515625" style="1" customWidth="1"/>
    <col min="16" max="16" width="15.7109375" style="1" customWidth="1"/>
    <col min="17" max="17" width="18" style="1" customWidth="1"/>
    <col min="18" max="18" width="8.140625" style="1" customWidth="1"/>
    <col min="19" max="19" width="16.42578125" style="1" customWidth="1"/>
    <col min="20" max="20" width="8.140625" style="1" customWidth="1"/>
    <col min="21" max="21" width="16.140625" style="1" customWidth="1"/>
    <col min="22" max="22" width="9.140625" style="1" customWidth="1"/>
    <col min="23" max="23" width="14.28515625" style="1" customWidth="1"/>
    <col min="24" max="24" width="9.7109375" style="1" customWidth="1"/>
    <col min="25" max="25" width="20.42578125" style="1" customWidth="1"/>
    <col min="26" max="26" width="15.7109375" style="1" customWidth="1"/>
    <col min="27" max="27" width="14.28515625" style="1" customWidth="1"/>
    <col min="28" max="28" width="20" style="1" customWidth="1"/>
    <col min="29" max="29" width="21.42578125" style="1" customWidth="1"/>
    <col min="30" max="30" width="3" style="109" customWidth="1"/>
    <col min="31" max="31" width="0" style="1" hidden="1" customWidth="1"/>
    <col min="32" max="16384" width="11.42578125" style="1"/>
  </cols>
  <sheetData>
    <row r="1" spans="1:6" ht="41.25" hidden="1" customHeight="1" x14ac:dyDescent="0.25">
      <c r="A1" s="216" t="s">
        <v>196</v>
      </c>
      <c r="B1" s="216"/>
      <c r="C1" s="216"/>
      <c r="D1" s="216"/>
      <c r="E1" s="171"/>
      <c r="F1" s="217" t="str">
        <f>'[3]SIIF Ejecución Agosto 31'!C2</f>
        <v>REPORTE  PRESUPUESTAL  SIIF 
Agosto  31 de 2015. Hora 5:00 pm</v>
      </c>
    </row>
    <row r="2" spans="1:6" ht="36" hidden="1" customHeight="1" x14ac:dyDescent="0.25">
      <c r="A2" s="216"/>
      <c r="B2" s="216"/>
      <c r="C2" s="216"/>
      <c r="D2" s="216"/>
      <c r="E2" s="171"/>
      <c r="F2" s="217"/>
    </row>
    <row r="3" spans="1:6" ht="40.5" hidden="1" customHeight="1" x14ac:dyDescent="0.25">
      <c r="A3" s="9"/>
      <c r="B3" s="10"/>
      <c r="C3" s="11" t="s">
        <v>212</v>
      </c>
      <c r="D3" s="11" t="s">
        <v>174</v>
      </c>
      <c r="E3" s="72"/>
      <c r="F3" s="6">
        <f>SUM(F4:F32)</f>
        <v>774659.3072230001</v>
      </c>
    </row>
    <row r="4" spans="1:6" ht="60" hidden="1" customHeight="1" x14ac:dyDescent="0.25">
      <c r="A4" s="2">
        <v>1</v>
      </c>
      <c r="B4" s="27">
        <v>111608106</v>
      </c>
      <c r="C4" s="73" t="s">
        <v>213</v>
      </c>
      <c r="D4" s="28" t="s">
        <v>84</v>
      </c>
      <c r="E4" s="74"/>
      <c r="F4" s="12">
        <f>+'[3]Ejecucion Agosto 31'!H27+'[3]Ejecucion Agosto 31'!H28+'[3]Ejecucion Agosto 31'!H29</f>
        <v>277743</v>
      </c>
    </row>
    <row r="5" spans="1:6" ht="75" hidden="1" customHeight="1" x14ac:dyDescent="0.25">
      <c r="A5" s="2">
        <v>2</v>
      </c>
      <c r="B5" s="27">
        <v>111608504</v>
      </c>
      <c r="C5" s="73" t="s">
        <v>213</v>
      </c>
      <c r="D5" s="28" t="s">
        <v>214</v>
      </c>
      <c r="E5" s="85"/>
      <c r="F5" s="13">
        <f>+'[3]Ejecucion Agosto 31'!H30</f>
        <v>9953</v>
      </c>
    </row>
    <row r="6" spans="1:6" ht="75" hidden="1" customHeight="1" x14ac:dyDescent="0.25">
      <c r="A6" s="2">
        <v>3</v>
      </c>
      <c r="B6" s="27">
        <v>111608505</v>
      </c>
      <c r="C6" s="73" t="s">
        <v>213</v>
      </c>
      <c r="D6" s="28" t="s">
        <v>175</v>
      </c>
      <c r="E6" s="85"/>
      <c r="F6" s="13">
        <f>+'[3]Ejecucion Agosto 31'!H31+'[3]Ejecucion Agosto 31'!H32</f>
        <v>80129</v>
      </c>
    </row>
    <row r="7" spans="1:6" ht="75" hidden="1" customHeight="1" x14ac:dyDescent="0.25">
      <c r="A7" s="2">
        <v>4</v>
      </c>
      <c r="B7" s="27">
        <v>112608001</v>
      </c>
      <c r="C7" s="75" t="s">
        <v>215</v>
      </c>
      <c r="D7" s="28" t="s">
        <v>176</v>
      </c>
      <c r="E7" s="85"/>
      <c r="F7" s="13">
        <f>'[3]Ejecucion Agosto 31'!H33</f>
        <v>8000</v>
      </c>
    </row>
    <row r="8" spans="1:6" ht="75" hidden="1" customHeight="1" x14ac:dyDescent="0.25">
      <c r="A8" s="2">
        <v>5</v>
      </c>
      <c r="B8" s="27">
        <v>113608002</v>
      </c>
      <c r="C8" s="73" t="s">
        <v>213</v>
      </c>
      <c r="D8" s="28" t="s">
        <v>177</v>
      </c>
      <c r="E8" s="85"/>
      <c r="F8" s="13">
        <f>'[3]Ejecucion Agosto 31'!H34</f>
        <v>6726</v>
      </c>
    </row>
    <row r="9" spans="1:6" ht="75" hidden="1" customHeight="1" x14ac:dyDescent="0.25">
      <c r="A9" s="2">
        <v>6</v>
      </c>
      <c r="B9" s="27">
        <v>113608003</v>
      </c>
      <c r="C9" s="73" t="s">
        <v>213</v>
      </c>
      <c r="D9" s="28" t="s">
        <v>96</v>
      </c>
      <c r="E9" s="85"/>
      <c r="F9" s="13">
        <f>'[3]Ejecucion Agosto 31'!H35+'[3]Ejecucion Agosto 31'!H36+'[3]Ejecucion Agosto 31'!H37</f>
        <v>124920.3364</v>
      </c>
    </row>
    <row r="10" spans="1:6" ht="27.75" hidden="1" customHeight="1" x14ac:dyDescent="0.25">
      <c r="A10" s="2">
        <v>7</v>
      </c>
      <c r="B10" s="27">
        <v>113608119</v>
      </c>
      <c r="C10" s="73" t="s">
        <v>213</v>
      </c>
      <c r="D10" s="28" t="s">
        <v>178</v>
      </c>
      <c r="E10" s="85"/>
      <c r="F10" s="13">
        <f>'[3]Ejecucion Agosto 31'!H38</f>
        <v>7670.7308229999999</v>
      </c>
    </row>
    <row r="11" spans="1:6" ht="25.5" hidden="1" customHeight="1" x14ac:dyDescent="0.25">
      <c r="A11" s="2">
        <v>8</v>
      </c>
      <c r="B11" s="27">
        <v>113608129</v>
      </c>
      <c r="C11" s="73" t="s">
        <v>213</v>
      </c>
      <c r="D11" s="28" t="s">
        <v>216</v>
      </c>
      <c r="E11" s="85"/>
      <c r="F11" s="13">
        <f>'[3]Ejecucion Agosto 31'!H39</f>
        <v>30000</v>
      </c>
    </row>
    <row r="12" spans="1:6" ht="90" hidden="1" customHeight="1" x14ac:dyDescent="0.25">
      <c r="A12" s="2">
        <v>9</v>
      </c>
      <c r="B12" s="27">
        <v>123608001</v>
      </c>
      <c r="C12" s="73" t="s">
        <v>213</v>
      </c>
      <c r="D12" s="28" t="s">
        <v>179</v>
      </c>
      <c r="E12" s="85"/>
      <c r="F12" s="13">
        <f>'[3]Ejecucion Agosto 31'!H40</f>
        <v>5238</v>
      </c>
    </row>
    <row r="13" spans="1:6" ht="22.5" hidden="1" customHeight="1" x14ac:dyDescent="0.25">
      <c r="A13" s="2">
        <v>10</v>
      </c>
      <c r="B13" s="3">
        <v>213608001</v>
      </c>
      <c r="C13" s="75" t="s">
        <v>217</v>
      </c>
      <c r="D13" s="4" t="s">
        <v>180</v>
      </c>
      <c r="E13" s="76"/>
      <c r="F13" s="13">
        <f>'[3]Ejecucion Agosto 31'!H41</f>
        <v>8100</v>
      </c>
    </row>
    <row r="14" spans="1:6" ht="76.5" hidden="1" customHeight="1" x14ac:dyDescent="0.25">
      <c r="A14" s="2">
        <v>11</v>
      </c>
      <c r="B14" s="3">
        <v>213608002</v>
      </c>
      <c r="C14" s="75" t="s">
        <v>218</v>
      </c>
      <c r="D14" s="14" t="s">
        <v>107</v>
      </c>
      <c r="E14" s="77"/>
      <c r="F14" s="13">
        <f>'[3]Ejecucion Agosto 31'!H42</f>
        <v>7180</v>
      </c>
    </row>
    <row r="15" spans="1:6" ht="76.5" hidden="1" customHeight="1" x14ac:dyDescent="0.25">
      <c r="A15" s="2">
        <v>12</v>
      </c>
      <c r="B15" s="3">
        <v>213608003</v>
      </c>
      <c r="C15" s="75" t="s">
        <v>218</v>
      </c>
      <c r="D15" s="14" t="s">
        <v>109</v>
      </c>
      <c r="E15" s="77"/>
      <c r="F15" s="13">
        <f>'[3]Ejecucion Agosto 31'!H43</f>
        <v>3000</v>
      </c>
    </row>
    <row r="16" spans="1:6" ht="89.25" hidden="1" customHeight="1" x14ac:dyDescent="0.25">
      <c r="A16" s="2">
        <v>13</v>
      </c>
      <c r="B16" s="3">
        <v>213608004</v>
      </c>
      <c r="C16" s="75" t="s">
        <v>217</v>
      </c>
      <c r="D16" s="14" t="s">
        <v>181</v>
      </c>
      <c r="E16" s="77"/>
      <c r="F16" s="13">
        <f>'[3]Ejecucion Agosto 31'!H44</f>
        <v>5739.24</v>
      </c>
    </row>
    <row r="17" spans="1:6" ht="63.75" hidden="1" customHeight="1" x14ac:dyDescent="0.25">
      <c r="A17" s="2">
        <v>14</v>
      </c>
      <c r="B17" s="3">
        <v>213608005</v>
      </c>
      <c r="C17" s="75" t="s">
        <v>217</v>
      </c>
      <c r="D17" s="4" t="s">
        <v>113</v>
      </c>
      <c r="E17" s="76"/>
      <c r="F17" s="13">
        <f>'[3]Ejecucion Agosto 31'!H45+'[3]Ejecucion Agosto 31'!H46</f>
        <v>10745</v>
      </c>
    </row>
    <row r="18" spans="1:6" ht="63.75" hidden="1" customHeight="1" x14ac:dyDescent="0.25">
      <c r="A18" s="2">
        <v>15</v>
      </c>
      <c r="B18" s="3">
        <v>213608006</v>
      </c>
      <c r="C18" s="75" t="s">
        <v>217</v>
      </c>
      <c r="D18" s="4" t="s">
        <v>115</v>
      </c>
      <c r="E18" s="76"/>
      <c r="F18" s="13">
        <f>'[3]Ejecucion Agosto 31'!H47+'[3]Ejecucion Agosto 31'!H48</f>
        <v>23923</v>
      </c>
    </row>
    <row r="19" spans="1:6" ht="63.75" hidden="1" customHeight="1" x14ac:dyDescent="0.25">
      <c r="A19" s="2">
        <v>16</v>
      </c>
      <c r="B19" s="3">
        <v>213608007</v>
      </c>
      <c r="C19" s="75" t="s">
        <v>217</v>
      </c>
      <c r="D19" s="4" t="s">
        <v>117</v>
      </c>
      <c r="E19" s="76"/>
      <c r="F19" s="13">
        <f>'[3]Ejecucion Agosto 31'!H49</f>
        <v>2189</v>
      </c>
    </row>
    <row r="20" spans="1:6" ht="63.75" hidden="1" customHeight="1" x14ac:dyDescent="0.25">
      <c r="A20" s="2">
        <v>17</v>
      </c>
      <c r="B20" s="3">
        <v>213608008</v>
      </c>
      <c r="C20" s="75" t="s">
        <v>218</v>
      </c>
      <c r="D20" s="4" t="s">
        <v>120</v>
      </c>
      <c r="E20" s="76"/>
      <c r="F20" s="13">
        <f>'[3]Ejecucion Agosto 31'!H50</f>
        <v>200</v>
      </c>
    </row>
    <row r="21" spans="1:6" ht="38.25" hidden="1" customHeight="1" x14ac:dyDescent="0.25">
      <c r="A21" s="2">
        <v>18</v>
      </c>
      <c r="B21" s="3">
        <v>213608009</v>
      </c>
      <c r="C21" s="75" t="s">
        <v>217</v>
      </c>
      <c r="D21" s="4" t="s">
        <v>182</v>
      </c>
      <c r="E21" s="76"/>
      <c r="F21" s="13">
        <f>'[3]Ejecucion Agosto 31'!H51+'[3]Ejecucion Agosto 31'!H52</f>
        <v>16000</v>
      </c>
    </row>
    <row r="22" spans="1:6" ht="89.25" hidden="1" customHeight="1" x14ac:dyDescent="0.25">
      <c r="A22" s="2">
        <v>19</v>
      </c>
      <c r="B22" s="3">
        <v>213608010</v>
      </c>
      <c r="C22" s="75" t="s">
        <v>217</v>
      </c>
      <c r="D22" s="4" t="s">
        <v>183</v>
      </c>
      <c r="E22" s="76"/>
      <c r="F22" s="13">
        <f>'[3]Ejecucion Agosto 31'!H53+'[3]Ejecucion Agosto 31'!H54</f>
        <v>14150</v>
      </c>
    </row>
    <row r="23" spans="1:6" ht="63.75" hidden="1" customHeight="1" x14ac:dyDescent="0.25">
      <c r="A23" s="2">
        <v>20</v>
      </c>
      <c r="B23" s="3">
        <v>213608011</v>
      </c>
      <c r="C23" s="75" t="s">
        <v>217</v>
      </c>
      <c r="D23" s="4" t="s">
        <v>184</v>
      </c>
      <c r="E23" s="76"/>
      <c r="F23" s="13">
        <f>'[3]Ejecucion Agosto 31'!H55+'[3]Ejecucion Agosto 31'!H56</f>
        <v>18700</v>
      </c>
    </row>
    <row r="24" spans="1:6" ht="63.75" hidden="1" customHeight="1" x14ac:dyDescent="0.25">
      <c r="A24" s="2">
        <v>21</v>
      </c>
      <c r="B24" s="3">
        <v>213608012</v>
      </c>
      <c r="C24" s="75" t="s">
        <v>217</v>
      </c>
      <c r="D24" s="4" t="s">
        <v>185</v>
      </c>
      <c r="E24" s="76"/>
      <c r="F24" s="13">
        <f>'[3]Ejecucion Agosto 31'!H57</f>
        <v>8817</v>
      </c>
    </row>
    <row r="25" spans="1:6" ht="21" hidden="1" customHeight="1" x14ac:dyDescent="0.25">
      <c r="A25" s="2">
        <v>22</v>
      </c>
      <c r="B25" s="3">
        <v>213608013</v>
      </c>
      <c r="C25" s="75" t="s">
        <v>219</v>
      </c>
      <c r="D25" s="4" t="s">
        <v>132</v>
      </c>
      <c r="E25" s="76"/>
      <c r="F25" s="13">
        <f>'[3]Ejecucion Agosto 31'!H58</f>
        <v>3200</v>
      </c>
    </row>
    <row r="26" spans="1:6" ht="63.75" hidden="1" customHeight="1" x14ac:dyDescent="0.25">
      <c r="A26" s="2">
        <v>23</v>
      </c>
      <c r="B26" s="3">
        <v>213608014</v>
      </c>
      <c r="C26" s="75" t="s">
        <v>218</v>
      </c>
      <c r="D26" s="4" t="s">
        <v>135</v>
      </c>
      <c r="E26" s="76"/>
      <c r="F26" s="13">
        <f>'[3]Ejecucion Agosto 31'!H59</f>
        <v>2447</v>
      </c>
    </row>
    <row r="27" spans="1:6" ht="102" hidden="1" customHeight="1" x14ac:dyDescent="0.25">
      <c r="A27" s="2">
        <v>24</v>
      </c>
      <c r="B27" s="3">
        <v>213608015</v>
      </c>
      <c r="C27" s="75" t="s">
        <v>217</v>
      </c>
      <c r="D27" s="4" t="s">
        <v>186</v>
      </c>
      <c r="E27" s="76"/>
      <c r="F27" s="13">
        <f>'[3]Ejecucion Agosto 31'!H60</f>
        <v>1200</v>
      </c>
    </row>
    <row r="28" spans="1:6" ht="76.5" hidden="1" customHeight="1" x14ac:dyDescent="0.25">
      <c r="A28" s="2">
        <v>25</v>
      </c>
      <c r="B28" s="3">
        <v>213608016</v>
      </c>
      <c r="C28" s="75" t="s">
        <v>217</v>
      </c>
      <c r="D28" s="4" t="s">
        <v>187</v>
      </c>
      <c r="E28" s="76"/>
      <c r="F28" s="13">
        <f>'[3]Ejecucion Agosto 31'!H61+'[3]Ejecucion Agosto 31'!H62+'[3]Ejecucion Agosto 31'!H63</f>
        <v>44583</v>
      </c>
    </row>
    <row r="29" spans="1:6" ht="63.75" hidden="1" customHeight="1" x14ac:dyDescent="0.25">
      <c r="A29" s="2">
        <v>26</v>
      </c>
      <c r="B29" s="3">
        <v>213608018</v>
      </c>
      <c r="C29" s="75" t="s">
        <v>220</v>
      </c>
      <c r="D29" s="4" t="s">
        <v>144</v>
      </c>
      <c r="E29" s="76"/>
      <c r="F29" s="13">
        <f>'[3]Ejecucion Agosto 31'!H64</f>
        <v>9500</v>
      </c>
    </row>
    <row r="30" spans="1:6" ht="51" hidden="1" customHeight="1" x14ac:dyDescent="0.25">
      <c r="A30" s="2">
        <v>27</v>
      </c>
      <c r="B30" s="3">
        <v>213608019</v>
      </c>
      <c r="C30" s="75" t="s">
        <v>220</v>
      </c>
      <c r="D30" s="4" t="s">
        <v>147</v>
      </c>
      <c r="E30" s="76"/>
      <c r="F30" s="13">
        <f>VLOOKUP(B30,'[4]213'!$A$3:$C$458,3,0)/F34</f>
        <v>6642</v>
      </c>
    </row>
    <row r="31" spans="1:6" ht="24.75" hidden="1" customHeight="1" x14ac:dyDescent="0.25">
      <c r="A31" s="2">
        <v>28</v>
      </c>
      <c r="B31" s="3">
        <v>213608031</v>
      </c>
      <c r="C31" s="75" t="s">
        <v>218</v>
      </c>
      <c r="D31" s="4" t="s">
        <v>188</v>
      </c>
      <c r="E31" s="76"/>
      <c r="F31" s="13">
        <f>'[3]Ejecucion Agosto 31'!H66</f>
        <v>3140</v>
      </c>
    </row>
    <row r="32" spans="1:6" ht="23.25" hidden="1" customHeight="1" x14ac:dyDescent="0.25">
      <c r="A32" s="2">
        <v>29</v>
      </c>
      <c r="B32" s="3">
        <v>213608034</v>
      </c>
      <c r="C32" s="75" t="s">
        <v>218</v>
      </c>
      <c r="D32" s="4" t="s">
        <v>153</v>
      </c>
      <c r="E32" s="76"/>
      <c r="F32" s="13">
        <f>'[3]Ejecucion Agosto 31'!H67+'[3]Ejecucion Agosto 31'!H68</f>
        <v>34824</v>
      </c>
    </row>
    <row r="33" spans="1:31" s="18" customFormat="1" ht="15.75" hidden="1" customHeight="1" x14ac:dyDescent="0.25">
      <c r="A33" s="16"/>
      <c r="B33" s="17"/>
      <c r="C33" s="17"/>
      <c r="D33" s="7" t="s">
        <v>195</v>
      </c>
      <c r="E33" s="78"/>
      <c r="F33" s="15" t="e">
        <f>809415.207223+#REF!</f>
        <v>#REF!</v>
      </c>
      <c r="AD33" s="110"/>
    </row>
    <row r="34" spans="1:31" ht="9" hidden="1" customHeight="1" x14ac:dyDescent="0.25">
      <c r="B34" s="8"/>
      <c r="F34" s="5">
        <v>1000000</v>
      </c>
    </row>
    <row r="35" spans="1:31" ht="51" hidden="1" customHeight="1" x14ac:dyDescent="0.25">
      <c r="B35" s="1" t="s">
        <v>221</v>
      </c>
      <c r="C35" s="4" t="s">
        <v>222</v>
      </c>
      <c r="D35" s="4" t="s">
        <v>223</v>
      </c>
      <c r="E35" s="79"/>
      <c r="F35" s="19"/>
    </row>
    <row r="36" spans="1:31" ht="25.5" hidden="1" customHeight="1" x14ac:dyDescent="0.25">
      <c r="B36" s="1" t="s">
        <v>224</v>
      </c>
      <c r="C36" s="4" t="s">
        <v>225</v>
      </c>
      <c r="D36" s="4" t="s">
        <v>226</v>
      </c>
      <c r="E36" s="79"/>
    </row>
    <row r="37" spans="1:31" ht="15" hidden="1" customHeight="1" x14ac:dyDescent="0.25">
      <c r="B37" s="1" t="s">
        <v>224</v>
      </c>
      <c r="C37" s="4" t="s">
        <v>225</v>
      </c>
      <c r="D37" s="4" t="s">
        <v>227</v>
      </c>
      <c r="E37" s="79"/>
    </row>
    <row r="38" spans="1:31" ht="25.5" hidden="1" customHeight="1" x14ac:dyDescent="0.25">
      <c r="B38" s="1" t="s">
        <v>224</v>
      </c>
      <c r="C38" s="4" t="s">
        <v>228</v>
      </c>
      <c r="D38" s="4" t="s">
        <v>229</v>
      </c>
      <c r="E38" s="79"/>
    </row>
    <row r="39" spans="1:31" ht="15" hidden="1" customHeight="1" x14ac:dyDescent="0.25">
      <c r="B39" s="1" t="s">
        <v>230</v>
      </c>
      <c r="C39" s="4" t="s">
        <v>222</v>
      </c>
      <c r="D39" s="4" t="s">
        <v>231</v>
      </c>
      <c r="E39" s="79"/>
    </row>
    <row r="40" spans="1:31" ht="25.5" hidden="1" customHeight="1" x14ac:dyDescent="0.25">
      <c r="B40" s="1" t="s">
        <v>230</v>
      </c>
      <c r="C40" s="4" t="s">
        <v>232</v>
      </c>
      <c r="D40" s="4" t="s">
        <v>233</v>
      </c>
      <c r="E40" s="79"/>
    </row>
    <row r="41" spans="1:31" ht="15" hidden="1" customHeight="1" x14ac:dyDescent="0.25"/>
    <row r="42" spans="1:31" ht="15" hidden="1" customHeight="1" x14ac:dyDescent="0.25">
      <c r="T42" s="86"/>
    </row>
    <row r="43" spans="1:31" ht="15" hidden="1" customHeight="1" x14ac:dyDescent="0.25"/>
    <row r="44" spans="1:31" ht="15" hidden="1" customHeight="1" x14ac:dyDescent="0.25"/>
    <row r="45" spans="1:31" ht="17.25" customHeight="1" x14ac:dyDescent="0.25">
      <c r="F45" s="5">
        <v>1000000</v>
      </c>
      <c r="G45" s="210" t="s">
        <v>257</v>
      </c>
      <c r="H45" s="211"/>
      <c r="I45" s="211"/>
      <c r="J45" s="211"/>
      <c r="K45" s="170"/>
      <c r="L45" s="170"/>
      <c r="M45" s="170"/>
      <c r="N45" s="210" t="s">
        <v>255</v>
      </c>
      <c r="O45" s="211"/>
      <c r="P45" s="211"/>
      <c r="Q45" s="211"/>
      <c r="R45" s="211"/>
      <c r="S45" s="211"/>
      <c r="T45" s="223"/>
      <c r="U45" s="210" t="s">
        <v>267</v>
      </c>
      <c r="V45" s="211"/>
      <c r="W45" s="211"/>
      <c r="X45" s="211"/>
      <c r="Y45" s="211"/>
      <c r="Z45" s="211"/>
      <c r="AA45" s="211"/>
      <c r="AB45" s="211" t="s">
        <v>258</v>
      </c>
      <c r="AC45" s="211"/>
    </row>
    <row r="46" spans="1:31" ht="35.25" customHeight="1" x14ac:dyDescent="0.25">
      <c r="E46" s="218" t="s">
        <v>234</v>
      </c>
      <c r="F46" s="218" t="s">
        <v>199</v>
      </c>
      <c r="G46" s="220" t="s">
        <v>254</v>
      </c>
      <c r="H46" s="222" t="str">
        <f>+Q46</f>
        <v xml:space="preserve">EJECUCION  PRESUPUESTAL  SIIF 
Cierre  Agosto 31  de 2016  </v>
      </c>
      <c r="I46" s="222"/>
      <c r="J46" s="222"/>
      <c r="K46" s="220" t="s">
        <v>268</v>
      </c>
      <c r="L46" s="220" t="s">
        <v>20</v>
      </c>
      <c r="M46" s="220" t="s">
        <v>21</v>
      </c>
      <c r="N46" s="220" t="s">
        <v>253</v>
      </c>
      <c r="O46" s="231" t="s">
        <v>265</v>
      </c>
      <c r="P46" s="229" t="s">
        <v>243</v>
      </c>
      <c r="Q46" s="222" t="str">
        <f>+'ejecucion OAP'!D78</f>
        <v xml:space="preserve">EJECUCION  PRESUPUESTAL  SIIF 
Cierre  Agosto 31  de 2016  </v>
      </c>
      <c r="R46" s="222"/>
      <c r="S46" s="222"/>
      <c r="T46" s="222"/>
      <c r="U46" s="212" t="s">
        <v>264</v>
      </c>
      <c r="V46" s="213"/>
      <c r="W46" s="213"/>
      <c r="X46" s="213"/>
      <c r="Y46" s="214" t="s">
        <v>266</v>
      </c>
      <c r="Z46" s="215"/>
      <c r="AA46" s="215"/>
      <c r="AB46" s="208" t="s">
        <v>256</v>
      </c>
      <c r="AC46" s="209"/>
    </row>
    <row r="47" spans="1:31" ht="51.75" customHeight="1" x14ac:dyDescent="0.25">
      <c r="C47" s="19"/>
      <c r="E47" s="219"/>
      <c r="F47" s="219"/>
      <c r="G47" s="221"/>
      <c r="H47" s="172" t="s">
        <v>241</v>
      </c>
      <c r="I47" s="172" t="s">
        <v>194</v>
      </c>
      <c r="J47" s="172" t="s">
        <v>29</v>
      </c>
      <c r="K47" s="221"/>
      <c r="L47" s="221"/>
      <c r="M47" s="221"/>
      <c r="N47" s="221"/>
      <c r="O47" s="221"/>
      <c r="P47" s="230"/>
      <c r="Q47" s="87" t="s">
        <v>168</v>
      </c>
      <c r="R47" s="87" t="s">
        <v>194</v>
      </c>
      <c r="S47" s="87" t="s">
        <v>169</v>
      </c>
      <c r="T47" s="87" t="s">
        <v>194</v>
      </c>
      <c r="U47" s="134" t="s">
        <v>168</v>
      </c>
      <c r="V47" s="134" t="s">
        <v>194</v>
      </c>
      <c r="W47" s="134" t="s">
        <v>169</v>
      </c>
      <c r="X47" s="136" t="s">
        <v>194</v>
      </c>
      <c r="Y47" s="156" t="s">
        <v>263</v>
      </c>
      <c r="Z47" s="159" t="s">
        <v>168</v>
      </c>
      <c r="AA47" s="159" t="s">
        <v>169</v>
      </c>
      <c r="AB47" s="157" t="s">
        <v>260</v>
      </c>
      <c r="AC47" s="138" t="s">
        <v>252</v>
      </c>
    </row>
    <row r="48" spans="1:31" ht="24.75" customHeight="1" x14ac:dyDescent="0.25">
      <c r="B48" s="59"/>
      <c r="C48" s="19"/>
      <c r="F48" s="88" t="s">
        <v>235</v>
      </c>
      <c r="G48" s="80">
        <f>SUM(G49:G57)</f>
        <v>135742.954685</v>
      </c>
      <c r="H48" s="80">
        <f>SUM(H49:H57)</f>
        <v>71925.091417000003</v>
      </c>
      <c r="I48" s="123">
        <f>+H48/G48</f>
        <v>0.52986242699598418</v>
      </c>
      <c r="J48" s="80">
        <f>SUM(J49:J57)</f>
        <v>61976.494988999999</v>
      </c>
      <c r="K48" s="80" t="e">
        <f>SUM(K49:K57)</f>
        <v>#REF!</v>
      </c>
      <c r="L48" s="80" t="e">
        <f t="shared" ref="L48:M48" si="0">SUM(L49:L57)</f>
        <v>#REF!</v>
      </c>
      <c r="M48" s="80" t="e">
        <f t="shared" si="0"/>
        <v>#REF!</v>
      </c>
      <c r="N48" s="80">
        <f>SUM(N49:N57)</f>
        <v>432629.57280499989</v>
      </c>
      <c r="O48" s="123">
        <f>+N48/N88</f>
        <v>0.71559274359231184</v>
      </c>
      <c r="P48" s="80" t="e">
        <f>SUM(P49:P57)</f>
        <v>#REF!</v>
      </c>
      <c r="Q48" s="80">
        <f>SUM(Q49:Q57)</f>
        <v>396544.7757440001</v>
      </c>
      <c r="R48" s="89">
        <f>+Q48/N48</f>
        <v>0.91659193145988571</v>
      </c>
      <c r="S48" s="80">
        <f>SUM(S49:S57)</f>
        <v>118648.870551</v>
      </c>
      <c r="T48" s="89">
        <f>+S48/N48</f>
        <v>0.27425048588733181</v>
      </c>
      <c r="U48" s="80">
        <f>SUM(U49:U57)</f>
        <v>419040.62518599996</v>
      </c>
      <c r="V48" s="113">
        <f>+U48/N48</f>
        <v>0.9685898781008091</v>
      </c>
      <c r="W48" s="80">
        <f>SUM(W49:W57)</f>
        <v>228553.8808918983</v>
      </c>
      <c r="X48" s="113">
        <f>+W48/N48</f>
        <v>0.52829000895626455</v>
      </c>
      <c r="Y48" s="80" t="e">
        <f t="shared" ref="Y48:AC48" si="1">SUM(Y49:Y57)</f>
        <v>#REF!</v>
      </c>
      <c r="Z48" s="158">
        <f>SUM(Z49:Z57)</f>
        <v>24691.282167999994</v>
      </c>
      <c r="AA48" s="158">
        <f t="shared" si="1"/>
        <v>109905.01034089831</v>
      </c>
      <c r="AB48" s="80">
        <f>SUM(AB49:AB57)</f>
        <v>63817.863267999994</v>
      </c>
      <c r="AC48" s="80">
        <f t="shared" si="1"/>
        <v>9948.5964280000026</v>
      </c>
      <c r="AE48" s="82"/>
    </row>
    <row r="49" spans="2:29" ht="27" hidden="1" customHeight="1" outlineLevel="1" thickBot="1" x14ac:dyDescent="0.3">
      <c r="B49" s="59"/>
      <c r="C49" s="19"/>
      <c r="E49" s="3">
        <v>111608106</v>
      </c>
      <c r="F49" s="154" t="s">
        <v>84</v>
      </c>
      <c r="G49" s="94">
        <f>(('RESERVAS '!P7+'RESERVAS '!P8+'RESERVAS '!P9))/1000000</f>
        <v>55887.608957999997</v>
      </c>
      <c r="H49" s="94">
        <f>(('RESERVAS '!Q7+'RESERVAS '!Q8+'RESERVAS '!Q9))/1000000</f>
        <v>15823.857013000001</v>
      </c>
      <c r="I49" s="93">
        <f>+H49/G49</f>
        <v>0.28313712660156493</v>
      </c>
      <c r="J49" s="94">
        <f>(('RESERVAS '!R7+'RESERVAS '!R8+'RESERVAS '!R9))/1000000</f>
        <v>8360.9529259999999</v>
      </c>
      <c r="K49" s="92" t="e">
        <f>'ejecucion OAP'!E26+'ejecucion OAP'!E27+'ejecucion OAP'!E28</f>
        <v>#REF!</v>
      </c>
      <c r="L49" s="92" t="e">
        <f>'ejecucion OAP'!F26+'ejecucion OAP'!F27+'ejecucion OAP'!F28</f>
        <v>#REF!</v>
      </c>
      <c r="M49" s="92" t="e">
        <f>'ejecucion OAP'!G26+'ejecucion OAP'!G27+'ejecucion OAP'!G28</f>
        <v>#REF!</v>
      </c>
      <c r="N49" s="92">
        <f>'ejecucion OAP'!H26+'ejecucion OAP'!H27+'ejecucion OAP'!H28</f>
        <v>269321.60502899997</v>
      </c>
      <c r="O49" s="93">
        <f>+N49/$N$48</f>
        <v>0.62252241168541644</v>
      </c>
      <c r="P49" s="92" t="e">
        <f>'ejecucion OAP'!I26+'ejecucion OAP'!I27+'ejecucion OAP'!I28</f>
        <v>#REF!</v>
      </c>
      <c r="Q49" s="94">
        <f>'ejecucion OAP'!N26+'ejecucion OAP'!N27+'ejecucion OAP'!N28</f>
        <v>266524.43578100001</v>
      </c>
      <c r="R49" s="93">
        <f>+Q49/N49</f>
        <v>0.98961401834918228</v>
      </c>
      <c r="S49" s="94">
        <f>'ejecucion OAP'!Q26+'ejecucion OAP'!Q27+'ejecucion OAP'!Q28</f>
        <v>82491.731230999998</v>
      </c>
      <c r="T49" s="93">
        <f>+S49/N49</f>
        <v>0.30629451811754005</v>
      </c>
      <c r="U49" s="94">
        <f>270234.801109-913</f>
        <v>269321.80110899999</v>
      </c>
      <c r="V49" s="114">
        <f>+U49/N49</f>
        <v>1.0000007280515055</v>
      </c>
      <c r="W49" s="94">
        <v>142720.00283961999</v>
      </c>
      <c r="X49" s="114">
        <f>+W49/N49</f>
        <v>0.52992407654874996</v>
      </c>
      <c r="Y49" s="94" t="e">
        <f>'ejecucion OAP'!W26+'ejecucion OAP'!W27+'ejecucion OAP'!W28</f>
        <v>#REF!</v>
      </c>
      <c r="Z49" s="94">
        <f>+U49-Q49</f>
        <v>2797.3653279999853</v>
      </c>
      <c r="AA49" s="94">
        <f>+W49-S49</f>
        <v>60228.271608619994</v>
      </c>
      <c r="AB49" s="94">
        <f>(G49-H49)</f>
        <v>40063.751944999996</v>
      </c>
      <c r="AC49" s="150">
        <f t="shared" ref="AC49:AC57" si="2">(H49-J49)</f>
        <v>7462.9040870000008</v>
      </c>
    </row>
    <row r="50" spans="2:29" ht="31.5" hidden="1" customHeight="1" outlineLevel="1" thickBot="1" x14ac:dyDescent="0.3">
      <c r="B50" s="59"/>
      <c r="C50" s="19"/>
      <c r="E50" s="3">
        <v>111608504</v>
      </c>
      <c r="F50" s="154" t="s">
        <v>248</v>
      </c>
      <c r="G50" s="94">
        <f>(('RESERVAS '!P10))/1000000</f>
        <v>690.66608199999996</v>
      </c>
      <c r="H50" s="94">
        <f>(('RESERVAS '!Q10))/1000000</f>
        <v>349.32836500000002</v>
      </c>
      <c r="I50" s="93">
        <f t="shared" ref="I50:I57" si="3">+H50/G50</f>
        <v>0.50578474041816357</v>
      </c>
      <c r="J50" s="94">
        <f>(('RESERVAS '!R10))/1000000</f>
        <v>0</v>
      </c>
      <c r="K50" s="92"/>
      <c r="L50" s="92"/>
      <c r="M50" s="92"/>
      <c r="N50" s="92"/>
      <c r="O50" s="93">
        <f t="shared" ref="O50:O57" si="4">+N50/$N$48</f>
        <v>0</v>
      </c>
      <c r="P50" s="92"/>
      <c r="Q50" s="94"/>
      <c r="R50" s="93"/>
      <c r="S50" s="94"/>
      <c r="T50" s="93"/>
      <c r="U50" s="94"/>
      <c r="V50" s="114"/>
      <c r="W50" s="94"/>
      <c r="X50" s="114"/>
      <c r="Y50" s="94"/>
      <c r="Z50" s="94"/>
      <c r="AA50" s="94"/>
      <c r="AB50" s="94">
        <f t="shared" ref="AB50:AB57" si="5">(G50-H50)</f>
        <v>341.33771699999994</v>
      </c>
      <c r="AC50" s="150">
        <f t="shared" si="2"/>
        <v>349.32836500000002</v>
      </c>
    </row>
    <row r="51" spans="2:29" ht="22.5" hidden="1" customHeight="1" outlineLevel="1" thickBot="1" x14ac:dyDescent="0.3">
      <c r="B51" s="59"/>
      <c r="C51" s="19"/>
      <c r="E51" s="3">
        <v>111608505</v>
      </c>
      <c r="F51" s="91" t="s">
        <v>175</v>
      </c>
      <c r="G51" s="94">
        <f>(('RESERVAS '!P11+'RESERVAS '!P12))/1000000</f>
        <v>22465.942472999999</v>
      </c>
      <c r="H51" s="94">
        <f>(('RESERVAS '!Q11+'RESERVAS '!Q12))/1000000</f>
        <v>22465.942472999999</v>
      </c>
      <c r="I51" s="93">
        <f t="shared" si="3"/>
        <v>1</v>
      </c>
      <c r="J51" s="94">
        <f>(('RESERVAS '!R11+'RESERVAS '!R12))/1000000</f>
        <v>22465.942472999999</v>
      </c>
      <c r="K51" s="92" t="e">
        <f>'ejecucion OAP'!E29+'ejecucion OAP'!E30</f>
        <v>#REF!</v>
      </c>
      <c r="L51" s="92" t="e">
        <f>'ejecucion OAP'!F29+'ejecucion OAP'!F30</f>
        <v>#REF!</v>
      </c>
      <c r="M51" s="92" t="e">
        <f>'ejecucion OAP'!G29+'ejecucion OAP'!G30</f>
        <v>#REF!</v>
      </c>
      <c r="N51" s="92">
        <f>'ejecucion OAP'!H29+'ejecucion OAP'!H30</f>
        <v>58110.145731000004</v>
      </c>
      <c r="O51" s="93">
        <f t="shared" si="4"/>
        <v>0.13431847794000001</v>
      </c>
      <c r="P51" s="92" t="e">
        <f>'ejecucion OAP'!I29</f>
        <v>#REF!</v>
      </c>
      <c r="Q51" s="94">
        <f>'ejecucion OAP'!N29+'ejecucion OAP'!N30</f>
        <v>58110.145731000004</v>
      </c>
      <c r="R51" s="93">
        <f>+Q51/N51</f>
        <v>1</v>
      </c>
      <c r="S51" s="94">
        <f>'ejecucion OAP'!Q29+'ejecucion OAP'!Q30</f>
        <v>19474.417217999999</v>
      </c>
      <c r="T51" s="93">
        <f>+S51/N51</f>
        <v>0.33512938184925228</v>
      </c>
      <c r="U51" s="94">
        <v>57196.949651000003</v>
      </c>
      <c r="V51" s="114">
        <f>+U51/N51</f>
        <v>0.98428508363707579</v>
      </c>
      <c r="W51" s="94">
        <v>25923.249056121658</v>
      </c>
      <c r="X51" s="114">
        <f>+W51/N51</f>
        <v>0.44610538710613473</v>
      </c>
      <c r="Y51" s="94" t="e">
        <f>+'ejecucion OAP'!W29</f>
        <v>#REF!</v>
      </c>
      <c r="Z51" s="148">
        <f t="shared" ref="Z51" si="6">+U51-Q51</f>
        <v>-913.19608000000153</v>
      </c>
      <c r="AA51" s="94">
        <f t="shared" ref="AA51:AA57" si="7">+W51-S51</f>
        <v>6448.8318381216595</v>
      </c>
      <c r="AB51" s="94">
        <f t="shared" si="5"/>
        <v>0</v>
      </c>
      <c r="AC51" s="92">
        <f t="shared" si="2"/>
        <v>0</v>
      </c>
    </row>
    <row r="52" spans="2:29" ht="39" hidden="1" customHeight="1" outlineLevel="1" thickBot="1" x14ac:dyDescent="0.3">
      <c r="B52" s="59"/>
      <c r="C52" s="19"/>
      <c r="E52" s="3">
        <v>113608002</v>
      </c>
      <c r="F52" s="91" t="s">
        <v>177</v>
      </c>
      <c r="G52" s="152"/>
      <c r="H52" s="94"/>
      <c r="I52" s="93"/>
      <c r="J52" s="94"/>
      <c r="K52" s="92" t="e">
        <f>'ejecucion OAP'!E32</f>
        <v>#REF!</v>
      </c>
      <c r="L52" s="92" t="e">
        <f>'ejecucion OAP'!F32</f>
        <v>#REF!</v>
      </c>
      <c r="M52" s="92" t="e">
        <f>'ejecucion OAP'!G32</f>
        <v>#REF!</v>
      </c>
      <c r="N52" s="92">
        <f>'ejecucion OAP'!H32</f>
        <v>5000</v>
      </c>
      <c r="O52" s="93">
        <f t="shared" si="4"/>
        <v>1.1557231207247271E-2</v>
      </c>
      <c r="P52" s="92" t="e">
        <f>'ejecucion OAP'!I32</f>
        <v>#REF!</v>
      </c>
      <c r="Q52" s="94">
        <f>'ejecucion OAP'!N32</f>
        <v>3470.656735</v>
      </c>
      <c r="R52" s="93">
        <f>+Q52/N52</f>
        <v>0.69413134700000001</v>
      </c>
      <c r="S52" s="94">
        <f>+'ejecucion OAP'!Q32</f>
        <v>3258.978486</v>
      </c>
      <c r="T52" s="93">
        <f>+S52/N52</f>
        <v>0.65179569719999997</v>
      </c>
      <c r="U52" s="94">
        <v>3500</v>
      </c>
      <c r="V52" s="114">
        <f>+U52/N52</f>
        <v>0.7</v>
      </c>
      <c r="W52" s="94">
        <v>3453</v>
      </c>
      <c r="X52" s="114">
        <f>+W52/N52</f>
        <v>0.69059999999999999</v>
      </c>
      <c r="Y52" s="94" t="e">
        <f>+'ejecucion OAP'!W32</f>
        <v>#REF!</v>
      </c>
      <c r="Z52" s="94">
        <f>+U52-Q52</f>
        <v>29.343264999999974</v>
      </c>
      <c r="AA52" s="94">
        <f t="shared" si="7"/>
        <v>194.02151400000002</v>
      </c>
      <c r="AB52" s="152">
        <f t="shared" si="5"/>
        <v>0</v>
      </c>
      <c r="AC52" s="150">
        <f t="shared" si="2"/>
        <v>0</v>
      </c>
    </row>
    <row r="53" spans="2:29" ht="34.5" hidden="1" customHeight="1" outlineLevel="1" thickBot="1" x14ac:dyDescent="0.3">
      <c r="B53" s="59"/>
      <c r="C53" s="19"/>
      <c r="E53" s="3">
        <v>113608003</v>
      </c>
      <c r="F53" s="91" t="s">
        <v>96</v>
      </c>
      <c r="G53" s="94">
        <f>(('RESERVAS '!P14+'RESERVAS '!P15+'RESERVAS '!P16))/1000000</f>
        <v>38383.441660999997</v>
      </c>
      <c r="H53" s="94">
        <f>(('RESERVAS '!Q14+'RESERVAS '!Q15+'RESERVAS '!Q16))/1000000</f>
        <v>21278.333030000002</v>
      </c>
      <c r="I53" s="93">
        <f t="shared" si="3"/>
        <v>0.55436230075272619</v>
      </c>
      <c r="J53" s="94">
        <f>(('RESERVAS '!R14+'RESERVAS '!R15+'RESERVAS '!R16))/1000000</f>
        <v>20844.571415999999</v>
      </c>
      <c r="K53" s="92" t="e">
        <f>'ejecucion OAP'!E33</f>
        <v>#REF!</v>
      </c>
      <c r="L53" s="92" t="e">
        <f>'ejecucion OAP'!F33</f>
        <v>#REF!</v>
      </c>
      <c r="M53" s="92" t="e">
        <f>'ejecucion OAP'!G33</f>
        <v>#REF!</v>
      </c>
      <c r="N53" s="92">
        <f>'ejecucion OAP'!H33</f>
        <v>79083.600808999996</v>
      </c>
      <c r="O53" s="93">
        <f t="shared" si="4"/>
        <v>0.18279749185025207</v>
      </c>
      <c r="P53" s="92" t="e">
        <f>'ejecucion OAP'!I33</f>
        <v>#REF!</v>
      </c>
      <c r="Q53" s="94">
        <f>'ejecucion OAP'!N33</f>
        <v>55236.366307999997</v>
      </c>
      <c r="R53" s="93">
        <f>+Q53/N53</f>
        <v>0.69845537814350378</v>
      </c>
      <c r="S53" s="94">
        <f>+'ejecucion OAP'!Q33</f>
        <v>9249.5366410000006</v>
      </c>
      <c r="T53" s="93">
        <f>+S53/N53</f>
        <v>0.11695897185232075</v>
      </c>
      <c r="U53" s="94">
        <f>74295.626052</f>
        <v>74295.626052000007</v>
      </c>
      <c r="V53" s="114">
        <f>+U53/N53</f>
        <v>0.93945679372182689</v>
      </c>
      <c r="W53" s="94">
        <v>48324.001832540001</v>
      </c>
      <c r="X53" s="114">
        <f>+W53/N53</f>
        <v>0.61104958977842294</v>
      </c>
      <c r="Y53" s="94" t="e">
        <f>+'ejecucion OAP'!W33</f>
        <v>#REF!</v>
      </c>
      <c r="Z53" s="94">
        <f>+U53-Q53</f>
        <v>19059.25974400001</v>
      </c>
      <c r="AA53" s="94">
        <f t="shared" si="7"/>
        <v>39074.465191540003</v>
      </c>
      <c r="AB53" s="94">
        <f t="shared" si="5"/>
        <v>17105.108630999996</v>
      </c>
      <c r="AC53" s="92">
        <f t="shared" si="2"/>
        <v>433.76161400000274</v>
      </c>
    </row>
    <row r="54" spans="2:29" ht="31.5" hidden="1" customHeight="1" outlineLevel="1" thickBot="1" x14ac:dyDescent="0.3">
      <c r="B54" s="59"/>
      <c r="C54" s="19"/>
      <c r="E54" s="3">
        <v>113608119</v>
      </c>
      <c r="F54" s="91" t="s">
        <v>178</v>
      </c>
      <c r="G54" s="94">
        <f>(('RESERVAS '!P17))/1000000</f>
        <v>1151.5744</v>
      </c>
      <c r="H54" s="94">
        <f>(('RESERVAS '!Q17))/1000000</f>
        <v>1151.5744</v>
      </c>
      <c r="I54" s="93">
        <f t="shared" si="3"/>
        <v>1</v>
      </c>
      <c r="J54" s="94">
        <f>(('RESERVAS '!R17))/1000000</f>
        <v>1151.5744</v>
      </c>
      <c r="K54" s="92" t="e">
        <f>+'ejecucion OAP'!E34</f>
        <v>#REF!</v>
      </c>
      <c r="L54" s="92" t="e">
        <f>+'ejecucion OAP'!F34</f>
        <v>#REF!</v>
      </c>
      <c r="M54" s="92" t="e">
        <f>+'ejecucion OAP'!G34</f>
        <v>#REF!</v>
      </c>
      <c r="N54" s="92">
        <f>+'ejecucion OAP'!H34</f>
        <v>9860</v>
      </c>
      <c r="O54" s="93">
        <f t="shared" si="4"/>
        <v>2.2790859940691618E-2</v>
      </c>
      <c r="P54" s="92" t="e">
        <f>'ejecucion OAP'!I34</f>
        <v>#REF!</v>
      </c>
      <c r="Q54" s="94">
        <f>'ejecucion OAP'!N34</f>
        <v>7767.8406500000001</v>
      </c>
      <c r="R54" s="93">
        <f>+Q54/N54</f>
        <v>0.78781345334685604</v>
      </c>
      <c r="S54" s="94">
        <f>+'ejecucion OAP'!Q34</f>
        <v>3058.7087710000001</v>
      </c>
      <c r="T54" s="93">
        <f>+S54/N54</f>
        <v>0.31021387129817446</v>
      </c>
      <c r="U54" s="94">
        <v>8979.0176599999995</v>
      </c>
      <c r="V54" s="114">
        <f>+U54/N54</f>
        <v>0.91065087829614599</v>
      </c>
      <c r="W54" s="94">
        <v>4401.4128198999997</v>
      </c>
      <c r="X54" s="114">
        <f>+W54/N54</f>
        <v>0.44639075252535493</v>
      </c>
      <c r="Y54" s="94" t="e">
        <f>+'ejecucion OAP'!W34</f>
        <v>#REF!</v>
      </c>
      <c r="Z54" s="94">
        <f>+U54-Q54</f>
        <v>1211.1770099999994</v>
      </c>
      <c r="AA54" s="94">
        <f t="shared" si="7"/>
        <v>1342.7040488999996</v>
      </c>
      <c r="AB54" s="94">
        <f t="shared" si="5"/>
        <v>0</v>
      </c>
      <c r="AC54" s="92">
        <f t="shared" si="2"/>
        <v>0</v>
      </c>
    </row>
    <row r="55" spans="2:29" ht="26.25" hidden="1" customHeight="1" outlineLevel="1" thickBot="1" x14ac:dyDescent="0.3">
      <c r="B55" s="59"/>
      <c r="C55" s="19"/>
      <c r="E55" s="3">
        <v>113608129</v>
      </c>
      <c r="F55" s="91" t="s">
        <v>251</v>
      </c>
      <c r="G55" s="94">
        <f>(('RESERVAS '!P18))/1000000</f>
        <v>15793.435810000001</v>
      </c>
      <c r="H55" s="94">
        <f>(('RESERVAS '!Q18))/1000000</f>
        <v>9494.2810759999993</v>
      </c>
      <c r="I55" s="93">
        <f t="shared" si="3"/>
        <v>0.60115361788398591</v>
      </c>
      <c r="J55" s="94">
        <f>(('RESERVAS '!R18))/1000000</f>
        <v>7791.6787139999997</v>
      </c>
      <c r="K55" s="92" t="e">
        <f>'ejecucion OAP'!E35</f>
        <v>#REF!</v>
      </c>
      <c r="L55" s="92" t="e">
        <f>'ejecucion OAP'!F35</f>
        <v>#REF!</v>
      </c>
      <c r="M55" s="92" t="e">
        <f>'ejecucion OAP'!G35</f>
        <v>#REF!</v>
      </c>
      <c r="N55" s="92">
        <f>'ejecucion OAP'!H35</f>
        <v>3605.8093239999998</v>
      </c>
      <c r="O55" s="93">
        <f t="shared" si="4"/>
        <v>8.334634409343197E-3</v>
      </c>
      <c r="P55" s="92" t="e">
        <f>'ejecucion OAP'!I35</f>
        <v>#REF!</v>
      </c>
      <c r="Q55" s="94">
        <f>'ejecucion OAP'!N35</f>
        <v>2195.432726</v>
      </c>
      <c r="R55" s="93">
        <f>+Q55/N55</f>
        <v>0.60885990598209461</v>
      </c>
      <c r="S55" s="94">
        <f>'ejecucion OAP'!Q35</f>
        <v>0</v>
      </c>
      <c r="T55" s="93">
        <f>+S55/N55</f>
        <v>0</v>
      </c>
      <c r="U55" s="94"/>
      <c r="V55" s="114"/>
      <c r="W55" s="94"/>
      <c r="X55" s="114"/>
      <c r="Y55" s="94" t="e">
        <f>'ejecucion OAP'!W35</f>
        <v>#REF!</v>
      </c>
      <c r="Z55" s="94">
        <v>0</v>
      </c>
      <c r="AA55" s="94">
        <f t="shared" si="7"/>
        <v>0</v>
      </c>
      <c r="AB55" s="94">
        <f t="shared" si="5"/>
        <v>6299.1547340000016</v>
      </c>
      <c r="AC55" s="92">
        <f t="shared" si="2"/>
        <v>1702.6023619999996</v>
      </c>
    </row>
    <row r="56" spans="2:29" ht="22.5" hidden="1" customHeight="1" outlineLevel="1" thickBot="1" x14ac:dyDescent="0.3">
      <c r="B56" s="59"/>
      <c r="C56" s="19"/>
      <c r="E56" s="3">
        <v>123608001</v>
      </c>
      <c r="F56" s="91" t="s">
        <v>179</v>
      </c>
      <c r="G56" s="94">
        <f>(('RESERVAS '!P19))/1000000</f>
        <v>1204.140435</v>
      </c>
      <c r="H56" s="94">
        <f>(('RESERVAS '!Q19))/1000000</f>
        <v>1198.284312</v>
      </c>
      <c r="I56" s="93">
        <f t="shared" si="3"/>
        <v>0.99513667772480374</v>
      </c>
      <c r="J56" s="94">
        <f>(('RESERVAS '!R19))/1000000</f>
        <v>1198.284312</v>
      </c>
      <c r="K56" s="92" t="e">
        <f>'ejecucion OAP'!E36</f>
        <v>#REF!</v>
      </c>
      <c r="L56" s="92" t="e">
        <f>'ejecucion OAP'!F36</f>
        <v>#REF!</v>
      </c>
      <c r="M56" s="92" t="e">
        <f>'ejecucion OAP'!G36</f>
        <v>#REF!</v>
      </c>
      <c r="N56" s="92">
        <f>'ejecucion OAP'!H36</f>
        <v>5238</v>
      </c>
      <c r="O56" s="93">
        <f t="shared" si="4"/>
        <v>1.2107355412712241E-2</v>
      </c>
      <c r="P56" s="92" t="e">
        <f>'ejecucion OAP'!I36</f>
        <v>#REF!</v>
      </c>
      <c r="Q56" s="94">
        <f>'ejecucion OAP'!N36</f>
        <v>832.22431400000005</v>
      </c>
      <c r="R56" s="93">
        <f t="shared" ref="R56:R94" si="8">+Q56/N56</f>
        <v>0.1588820759831997</v>
      </c>
      <c r="S56" s="94">
        <f>+'ejecucion OAP'!Q36</f>
        <v>372.89282600000001</v>
      </c>
      <c r="T56" s="93">
        <f t="shared" ref="T56:T94" si="9">+S56/N56</f>
        <v>7.1189924780450553E-2</v>
      </c>
      <c r="U56" s="94">
        <v>3338</v>
      </c>
      <c r="V56" s="114">
        <f t="shared" ref="V56:V94" si="10">+U56/N56</f>
        <v>0.63726613211149297</v>
      </c>
      <c r="W56" s="94">
        <v>2163.2666666666669</v>
      </c>
      <c r="X56" s="114">
        <f t="shared" ref="X56:X93" si="11">+W56/N56</f>
        <v>0.41299478172330412</v>
      </c>
      <c r="Y56" s="94" t="e">
        <f>+'ejecucion OAP'!W36</f>
        <v>#REF!</v>
      </c>
      <c r="Z56" s="94">
        <f>+U56-Q56</f>
        <v>2505.775686</v>
      </c>
      <c r="AA56" s="94">
        <f t="shared" si="7"/>
        <v>1790.3738406666669</v>
      </c>
      <c r="AB56" s="94">
        <f t="shared" si="5"/>
        <v>5.8561230000000251</v>
      </c>
      <c r="AC56" s="150">
        <f t="shared" si="2"/>
        <v>0</v>
      </c>
    </row>
    <row r="57" spans="2:29" ht="23.25" hidden="1" customHeight="1" outlineLevel="1" thickBot="1" x14ac:dyDescent="0.3">
      <c r="B57" s="59"/>
      <c r="C57" s="19"/>
      <c r="E57" s="3">
        <v>450608001</v>
      </c>
      <c r="F57" s="91" t="s">
        <v>189</v>
      </c>
      <c r="G57" s="94">
        <f>(('RESERVAS '!P41))/1000000</f>
        <v>166.14486600000001</v>
      </c>
      <c r="H57" s="94">
        <f>(('RESERVAS '!Q41))/1000000</f>
        <v>163.490748</v>
      </c>
      <c r="I57" s="93">
        <f t="shared" si="3"/>
        <v>0.98402527827733177</v>
      </c>
      <c r="J57" s="94">
        <f>(('RESERVAS '!R41))/1000000</f>
        <v>163.490748</v>
      </c>
      <c r="K57" s="92" t="e">
        <f>'ejecucion OAP'!E62</f>
        <v>#REF!</v>
      </c>
      <c r="L57" s="92" t="e">
        <f>'ejecucion OAP'!F62</f>
        <v>#REF!</v>
      </c>
      <c r="M57" s="92" t="e">
        <f>'ejecucion OAP'!G62</f>
        <v>#REF!</v>
      </c>
      <c r="N57" s="92">
        <f>'ejecucion OAP'!H62</f>
        <v>2410.411912</v>
      </c>
      <c r="O57" s="93">
        <f t="shared" si="4"/>
        <v>5.5715375543373925E-3</v>
      </c>
      <c r="P57" s="92" t="e">
        <f>'ejecucion OAP'!I62</f>
        <v>#REF!</v>
      </c>
      <c r="Q57" s="94">
        <f>'ejecucion OAP'!N62</f>
        <v>2407.673499</v>
      </c>
      <c r="R57" s="93">
        <f t="shared" si="8"/>
        <v>0.9988639232214348</v>
      </c>
      <c r="S57" s="94">
        <f>+'ejecucion OAP'!Q62</f>
        <v>742.60537799999997</v>
      </c>
      <c r="T57" s="93">
        <f t="shared" si="9"/>
        <v>0.30808235484690882</v>
      </c>
      <c r="U57" s="94">
        <v>2409.2307139999998</v>
      </c>
      <c r="V57" s="114">
        <f t="shared" si="10"/>
        <v>0.99950996010510906</v>
      </c>
      <c r="W57" s="94">
        <v>1568.94767705</v>
      </c>
      <c r="X57" s="114">
        <f t="shared" si="11"/>
        <v>0.65090438245809668</v>
      </c>
      <c r="Y57" s="94" t="e">
        <f>+'ejecucion OAP'!W62</f>
        <v>#REF!</v>
      </c>
      <c r="Z57" s="94">
        <f>+U57-Q57</f>
        <v>1.5572149999998146</v>
      </c>
      <c r="AA57" s="94">
        <f t="shared" si="7"/>
        <v>826.34229905000007</v>
      </c>
      <c r="AB57" s="94">
        <f t="shared" si="5"/>
        <v>2.6541180000000111</v>
      </c>
      <c r="AC57" s="150">
        <f t="shared" si="2"/>
        <v>0</v>
      </c>
    </row>
    <row r="58" spans="2:29" ht="18.75" customHeight="1" collapsed="1" x14ac:dyDescent="0.25">
      <c r="B58" s="59"/>
      <c r="C58" s="19"/>
      <c r="E58" s="81"/>
      <c r="F58" s="95" t="s">
        <v>236</v>
      </c>
      <c r="G58" s="80">
        <f>SUM(G59:G69)</f>
        <v>16423.475748000001</v>
      </c>
      <c r="H58" s="80">
        <f>SUM(H59:H69)</f>
        <v>13613.908056</v>
      </c>
      <c r="I58" s="123">
        <f>+H58/G58</f>
        <v>0.82892977496909315</v>
      </c>
      <c r="J58" s="80">
        <f>SUM(J59:J69)</f>
        <v>10586.215566999999</v>
      </c>
      <c r="K58" s="80" t="e">
        <f>SUM(K59:K69)</f>
        <v>#REF!</v>
      </c>
      <c r="L58" s="80" t="e">
        <f t="shared" ref="L58:M58" si="12">SUM(L59:L69)</f>
        <v>#REF!</v>
      </c>
      <c r="M58" s="80" t="e">
        <f t="shared" si="12"/>
        <v>#REF!</v>
      </c>
      <c r="N58" s="80">
        <f>SUM(N59:N69)</f>
        <v>86808.552752000003</v>
      </c>
      <c r="O58" s="123">
        <f>+N58/N88</f>
        <v>0.14358604759337826</v>
      </c>
      <c r="P58" s="80" t="e">
        <f>SUM(P59:P69)</f>
        <v>#REF!</v>
      </c>
      <c r="Q58" s="80">
        <f>SUM(Q59:Q69)</f>
        <v>61091.0386898</v>
      </c>
      <c r="R58" s="89">
        <f t="shared" si="8"/>
        <v>0.70374446702652238</v>
      </c>
      <c r="S58" s="80">
        <f>SUM(S59:S69)</f>
        <v>23367.179294799997</v>
      </c>
      <c r="T58" s="89">
        <f t="shared" si="9"/>
        <v>0.26918061128788529</v>
      </c>
      <c r="U58" s="80">
        <f>SUM(U59:U69)</f>
        <v>68878.866049489996</v>
      </c>
      <c r="V58" s="113">
        <f t="shared" si="10"/>
        <v>0.79345714063759787</v>
      </c>
      <c r="W58" s="80">
        <f>SUM(W59:W69)</f>
        <v>46214.781942000001</v>
      </c>
      <c r="X58" s="113">
        <f t="shared" si="11"/>
        <v>0.53237590625464315</v>
      </c>
      <c r="Y58" s="80" t="e">
        <f t="shared" ref="Y58:AC58" si="13">SUM(Y59:Y69)</f>
        <v>#REF!</v>
      </c>
      <c r="Z58" s="140">
        <f t="shared" si="13"/>
        <v>7787.8273596900017</v>
      </c>
      <c r="AA58" s="141">
        <f t="shared" si="13"/>
        <v>22847.602647200001</v>
      </c>
      <c r="AB58" s="80">
        <f t="shared" si="13"/>
        <v>2809.5676919999996</v>
      </c>
      <c r="AC58" s="80">
        <f t="shared" si="13"/>
        <v>3027.6924890000009</v>
      </c>
    </row>
    <row r="59" spans="2:29" ht="39.75" hidden="1" customHeight="1" outlineLevel="1" thickBot="1" x14ac:dyDescent="0.3">
      <c r="B59" s="59"/>
      <c r="C59" s="19"/>
      <c r="E59" s="3">
        <v>213608001</v>
      </c>
      <c r="F59" s="91" t="s">
        <v>180</v>
      </c>
      <c r="G59" s="92">
        <f>('RESERVAS '!P20)/1000000</f>
        <v>433.52083299999998</v>
      </c>
      <c r="H59" s="92">
        <f>('RESERVAS '!Q20)/1000000</f>
        <v>433.52083299999998</v>
      </c>
      <c r="I59" s="93">
        <f>+H59/G59</f>
        <v>1</v>
      </c>
      <c r="J59" s="92">
        <f>('RESERVAS '!R20)/1000000</f>
        <v>433.52083299999998</v>
      </c>
      <c r="K59" s="92" t="e">
        <f>'ejecucion OAP'!E37</f>
        <v>#REF!</v>
      </c>
      <c r="L59" s="92" t="e">
        <f>'ejecucion OAP'!F37</f>
        <v>#REF!</v>
      </c>
      <c r="M59" s="92" t="e">
        <f>'ejecucion OAP'!G37</f>
        <v>#REF!</v>
      </c>
      <c r="N59" s="92">
        <f>'ejecucion OAP'!H37</f>
        <v>3820</v>
      </c>
      <c r="O59" s="93">
        <f>+N59/$N$58</f>
        <v>4.4004880612549896E-2</v>
      </c>
      <c r="P59" s="92" t="e">
        <f>'ejecucion OAP'!I37</f>
        <v>#REF!</v>
      </c>
      <c r="Q59" s="94">
        <f>'ejecucion OAP'!N37</f>
        <v>968.47149400000001</v>
      </c>
      <c r="R59" s="93">
        <f t="shared" si="8"/>
        <v>0.25352656910994764</v>
      </c>
      <c r="S59" s="94">
        <f>'ejecucion OAP'!Q37</f>
        <v>967.31479400000001</v>
      </c>
      <c r="T59" s="93">
        <f t="shared" si="9"/>
        <v>0.2532237680628272</v>
      </c>
      <c r="U59" s="94">
        <f>3656.79699376-955</f>
        <v>2701.7969937600001</v>
      </c>
      <c r="V59" s="114">
        <f t="shared" si="10"/>
        <v>0.70727669993717279</v>
      </c>
      <c r="W59" s="94">
        <v>1576.9</v>
      </c>
      <c r="X59" s="114">
        <f t="shared" si="11"/>
        <v>0.41280104712041887</v>
      </c>
      <c r="Y59" s="94" t="e">
        <f>'ejecucion OAP'!W37</f>
        <v>#REF!</v>
      </c>
      <c r="Z59" s="137">
        <f t="shared" ref="Z59:Z69" si="14">+U59-Q59</f>
        <v>1733.3254997600002</v>
      </c>
      <c r="AA59" s="137">
        <f t="shared" ref="AA59:AA69" si="15">+W59-S59</f>
        <v>609.58520600000008</v>
      </c>
      <c r="AB59" s="94">
        <f t="shared" ref="AB59:AB69" si="16">(G59-H59)</f>
        <v>0</v>
      </c>
      <c r="AC59" s="94">
        <f t="shared" ref="AC59:AC69" si="17">(H59-J59)</f>
        <v>0</v>
      </c>
    </row>
    <row r="60" spans="2:29" ht="26.25" hidden="1" customHeight="1" outlineLevel="1" thickBot="1" x14ac:dyDescent="0.3">
      <c r="B60" s="59"/>
      <c r="C60" s="19"/>
      <c r="E60" s="3">
        <v>213608004</v>
      </c>
      <c r="F60" s="91" t="s">
        <v>181</v>
      </c>
      <c r="G60" s="92">
        <f>('RESERVAS '!P23)/1000000</f>
        <v>402.93958400000002</v>
      </c>
      <c r="H60" s="92">
        <f>('RESERVAS '!Q23)/1000000</f>
        <v>401.223252</v>
      </c>
      <c r="I60" s="93">
        <f t="shared" ref="I60:I69" si="18">+H60/G60</f>
        <v>0.9957404730928594</v>
      </c>
      <c r="J60" s="92">
        <f>('RESERVAS '!R23)/1000000</f>
        <v>401.223252</v>
      </c>
      <c r="K60" s="92" t="e">
        <f>'ejecucion OAP'!E40</f>
        <v>#REF!</v>
      </c>
      <c r="L60" s="92" t="e">
        <f>'ejecucion OAP'!F40</f>
        <v>#REF!</v>
      </c>
      <c r="M60" s="92" t="e">
        <f>'ejecucion OAP'!G40</f>
        <v>#REF!</v>
      </c>
      <c r="N60" s="92">
        <f>'ejecucion OAP'!H40</f>
        <v>5200</v>
      </c>
      <c r="O60" s="93">
        <f t="shared" ref="O60:O69" si="19">+N60/$N$58</f>
        <v>5.9901931723889912E-2</v>
      </c>
      <c r="P60" s="92" t="e">
        <f>'ejecucion OAP'!I40</f>
        <v>#REF!</v>
      </c>
      <c r="Q60" s="94">
        <f>'ejecucion OAP'!N40</f>
        <v>2385.6529089999999</v>
      </c>
      <c r="R60" s="93">
        <f t="shared" si="8"/>
        <v>0.45877940557692304</v>
      </c>
      <c r="S60" s="94">
        <f>'ejecucion OAP'!Q40</f>
        <v>2308.4729889999999</v>
      </c>
      <c r="T60" s="93">
        <f t="shared" si="9"/>
        <v>0.44393711326923074</v>
      </c>
      <c r="U60" s="94">
        <v>4470.7312768000002</v>
      </c>
      <c r="V60" s="114">
        <f t="shared" si="10"/>
        <v>0.8597560147692308</v>
      </c>
      <c r="W60" s="94">
        <v>3311.4</v>
      </c>
      <c r="X60" s="114">
        <f t="shared" si="11"/>
        <v>0.6368076923076923</v>
      </c>
      <c r="Y60" s="94" t="e">
        <f>'ejecucion OAP'!W40</f>
        <v>#REF!</v>
      </c>
      <c r="Z60" s="137">
        <f t="shared" si="14"/>
        <v>2085.0783678000003</v>
      </c>
      <c r="AA60" s="137">
        <f t="shared" si="15"/>
        <v>1002.9270110000002</v>
      </c>
      <c r="AB60" s="94">
        <f t="shared" si="16"/>
        <v>1.7163320000000226</v>
      </c>
      <c r="AC60" s="152">
        <f t="shared" si="17"/>
        <v>0</v>
      </c>
    </row>
    <row r="61" spans="2:29" ht="29.25" hidden="1" customHeight="1" outlineLevel="1" thickBot="1" x14ac:dyDescent="0.3">
      <c r="B61" s="59"/>
      <c r="C61" s="19"/>
      <c r="E61" s="3">
        <v>213608005</v>
      </c>
      <c r="F61" s="91" t="s">
        <v>113</v>
      </c>
      <c r="G61" s="150"/>
      <c r="H61" s="92"/>
      <c r="I61" s="93">
        <v>0</v>
      </c>
      <c r="J61" s="92">
        <v>0</v>
      </c>
      <c r="K61" s="92" t="e">
        <f>'ejecucion OAP'!E41</f>
        <v>#REF!</v>
      </c>
      <c r="L61" s="92" t="e">
        <f>'ejecucion OAP'!F41</f>
        <v>#REF!</v>
      </c>
      <c r="M61" s="92" t="e">
        <f>'ejecucion OAP'!G41</f>
        <v>#REF!</v>
      </c>
      <c r="N61" s="92">
        <f>'ejecucion OAP'!H41</f>
        <v>5000</v>
      </c>
      <c r="O61" s="93">
        <f t="shared" si="19"/>
        <v>5.7598011272971067E-2</v>
      </c>
      <c r="P61" s="92" t="e">
        <f>'ejecucion OAP'!I41</f>
        <v>#REF!</v>
      </c>
      <c r="Q61" s="94">
        <f>'ejecucion OAP'!N41</f>
        <v>1804.321142</v>
      </c>
      <c r="R61" s="93">
        <f t="shared" si="8"/>
        <v>0.36086422839999999</v>
      </c>
      <c r="S61" s="94">
        <f>'ejecucion OAP'!Q41</f>
        <v>541.29634299999998</v>
      </c>
      <c r="T61" s="93">
        <f t="shared" si="9"/>
        <v>0.1082592686</v>
      </c>
      <c r="U61" s="94">
        <v>2000</v>
      </c>
      <c r="V61" s="114">
        <f t="shared" si="10"/>
        <v>0.4</v>
      </c>
      <c r="W61" s="94">
        <v>800</v>
      </c>
      <c r="X61" s="114">
        <f t="shared" si="11"/>
        <v>0.16</v>
      </c>
      <c r="Y61" s="94" t="e">
        <f>'ejecucion OAP'!W41</f>
        <v>#REF!</v>
      </c>
      <c r="Z61" s="137">
        <f t="shared" si="14"/>
        <v>195.67885799999999</v>
      </c>
      <c r="AA61" s="137">
        <f t="shared" si="15"/>
        <v>258.70365700000002</v>
      </c>
      <c r="AB61" s="94">
        <f t="shared" si="16"/>
        <v>0</v>
      </c>
      <c r="AC61" s="152">
        <f t="shared" si="17"/>
        <v>0</v>
      </c>
    </row>
    <row r="62" spans="2:29" ht="36" hidden="1" customHeight="1" outlineLevel="1" thickBot="1" x14ac:dyDescent="0.3">
      <c r="B62" s="59"/>
      <c r="C62" s="19"/>
      <c r="E62" s="3">
        <v>213608006</v>
      </c>
      <c r="F62" s="91" t="s">
        <v>115</v>
      </c>
      <c r="G62" s="92">
        <f>('RESERVAS '!P24+'RESERVAS '!P25)/1000000</f>
        <v>1976.0839269999999</v>
      </c>
      <c r="H62" s="92">
        <f>('RESERVAS '!Q24+'RESERVAS '!Q25)/1000000</f>
        <v>1168.0434319999999</v>
      </c>
      <c r="I62" s="93">
        <f t="shared" si="18"/>
        <v>0.59108999169547927</v>
      </c>
      <c r="J62" s="92">
        <f>('RESERVAS '!R24+'RESERVAS '!R25)/1000000</f>
        <v>1110.0370849999999</v>
      </c>
      <c r="K62" s="92" t="e">
        <f>'ejecucion OAP'!E42+'ejecucion OAP'!E43</f>
        <v>#REF!</v>
      </c>
      <c r="L62" s="92" t="e">
        <f>'ejecucion OAP'!F42+'ejecucion OAP'!F43</f>
        <v>#REF!</v>
      </c>
      <c r="M62" s="92" t="e">
        <f>'ejecucion OAP'!G42+'ejecucion OAP'!G43</f>
        <v>#REF!</v>
      </c>
      <c r="N62" s="92">
        <f>'ejecucion OAP'!H42+'ejecucion OAP'!H43</f>
        <v>19387.470809999999</v>
      </c>
      <c r="O62" s="93">
        <f t="shared" si="19"/>
        <v>0.22333595245375551</v>
      </c>
      <c r="P62" s="92" t="e">
        <f>'ejecucion OAP'!I42</f>
        <v>#REF!</v>
      </c>
      <c r="Q62" s="94">
        <f>'ejecucion OAP'!N42+'ejecucion OAP'!N43</f>
        <v>19387.470809999999</v>
      </c>
      <c r="R62" s="93">
        <f t="shared" si="8"/>
        <v>1</v>
      </c>
      <c r="S62" s="94">
        <f>'ejecucion OAP'!Q42+'ejecucion OAP'!Q43</f>
        <v>8375.3165969999991</v>
      </c>
      <c r="T62" s="93">
        <f t="shared" si="9"/>
        <v>0.43199634852216184</v>
      </c>
      <c r="U62" s="94">
        <v>19387.470809999999</v>
      </c>
      <c r="V62" s="114">
        <f t="shared" si="10"/>
        <v>1</v>
      </c>
      <c r="W62" s="94">
        <v>19387</v>
      </c>
      <c r="X62" s="114">
        <f t="shared" si="11"/>
        <v>0.9999757157596979</v>
      </c>
      <c r="Y62" s="94" t="e">
        <f>'ejecucion OAP'!W42+'ejecucion OAP'!W43</f>
        <v>#REF!</v>
      </c>
      <c r="Z62" s="137">
        <f t="shared" si="14"/>
        <v>0</v>
      </c>
      <c r="AA62" s="137">
        <f t="shared" si="15"/>
        <v>11011.683403000001</v>
      </c>
      <c r="AB62" s="94">
        <f t="shared" si="16"/>
        <v>808.04049499999996</v>
      </c>
      <c r="AC62" s="152">
        <f t="shared" si="17"/>
        <v>58.006347000000005</v>
      </c>
    </row>
    <row r="63" spans="2:29" ht="29.25" hidden="1" customHeight="1" outlineLevel="1" thickBot="1" x14ac:dyDescent="0.3">
      <c r="B63" s="59"/>
      <c r="C63" s="19"/>
      <c r="E63" s="3">
        <v>213608007</v>
      </c>
      <c r="F63" s="91" t="s">
        <v>117</v>
      </c>
      <c r="G63" s="150"/>
      <c r="H63" s="92"/>
      <c r="I63" s="93">
        <v>0</v>
      </c>
      <c r="J63" s="92">
        <v>0</v>
      </c>
      <c r="K63" s="92" t="e">
        <f>'ejecucion OAP'!E44</f>
        <v>#REF!</v>
      </c>
      <c r="L63" s="92" t="e">
        <f>'ejecucion OAP'!F44</f>
        <v>#REF!</v>
      </c>
      <c r="M63" s="92" t="e">
        <f>'ejecucion OAP'!G44</f>
        <v>#REF!</v>
      </c>
      <c r="N63" s="92">
        <f>'ejecucion OAP'!H44</f>
        <v>3200</v>
      </c>
      <c r="O63" s="93">
        <f t="shared" si="19"/>
        <v>3.6862727214701484E-2</v>
      </c>
      <c r="P63" s="92" t="e">
        <f>'ejecucion OAP'!I44</f>
        <v>#REF!</v>
      </c>
      <c r="Q63" s="94">
        <f>'ejecucion OAP'!N44</f>
        <v>2412.2306248</v>
      </c>
      <c r="R63" s="93">
        <f t="shared" si="8"/>
        <v>0.75382207025000003</v>
      </c>
      <c r="S63" s="94">
        <f>'ejecucion OAP'!Q44</f>
        <v>1354.5934468</v>
      </c>
      <c r="T63" s="93">
        <f t="shared" si="9"/>
        <v>0.42331045212500001</v>
      </c>
      <c r="U63" s="94">
        <v>2806.4</v>
      </c>
      <c r="V63" s="114">
        <f t="shared" si="10"/>
        <v>0.877</v>
      </c>
      <c r="W63" s="94">
        <v>985.6</v>
      </c>
      <c r="X63" s="114">
        <f t="shared" si="11"/>
        <v>0.308</v>
      </c>
      <c r="Y63" s="94" t="e">
        <f>'ejecucion OAP'!W44</f>
        <v>#REF!</v>
      </c>
      <c r="Z63" s="137">
        <f t="shared" si="14"/>
        <v>394.1693752000001</v>
      </c>
      <c r="AA63" s="137">
        <f t="shared" si="15"/>
        <v>-368.99344680000002</v>
      </c>
      <c r="AB63" s="152">
        <f t="shared" si="16"/>
        <v>0</v>
      </c>
      <c r="AC63" s="152">
        <f t="shared" si="17"/>
        <v>0</v>
      </c>
    </row>
    <row r="64" spans="2:29" ht="35.25" hidden="1" customHeight="1" outlineLevel="1" thickBot="1" x14ac:dyDescent="0.3">
      <c r="B64" s="59"/>
      <c r="C64" s="19"/>
      <c r="E64" s="3">
        <v>213608009</v>
      </c>
      <c r="F64" s="91" t="s">
        <v>182</v>
      </c>
      <c r="G64" s="150"/>
      <c r="H64" s="92"/>
      <c r="I64" s="93">
        <v>0</v>
      </c>
      <c r="J64" s="92">
        <v>0</v>
      </c>
      <c r="K64" s="92" t="e">
        <f>'ejecucion OAP'!E46</f>
        <v>#REF!</v>
      </c>
      <c r="L64" s="92" t="e">
        <f>'ejecucion OAP'!F46</f>
        <v>#REF!</v>
      </c>
      <c r="M64" s="92" t="e">
        <f>'ejecucion OAP'!G46</f>
        <v>#REF!</v>
      </c>
      <c r="N64" s="92">
        <f>'ejecucion OAP'!H46</f>
        <v>11000</v>
      </c>
      <c r="O64" s="93">
        <f t="shared" si="19"/>
        <v>0.12671562480053636</v>
      </c>
      <c r="P64" s="92" t="e">
        <f>'ejecucion OAP'!I46</f>
        <v>#REF!</v>
      </c>
      <c r="Q64" s="94">
        <f>'ejecucion OAP'!N46</f>
        <v>10654.10591</v>
      </c>
      <c r="R64" s="93">
        <f t="shared" si="8"/>
        <v>0.96855508272727275</v>
      </c>
      <c r="S64" s="94">
        <f>'ejecucion OAP'!Q46</f>
        <v>0</v>
      </c>
      <c r="T64" s="93">
        <f t="shared" si="9"/>
        <v>0</v>
      </c>
      <c r="U64" s="94">
        <v>10957.45502693</v>
      </c>
      <c r="V64" s="114">
        <f t="shared" si="10"/>
        <v>0.99613227517545455</v>
      </c>
      <c r="W64" s="94">
        <v>0</v>
      </c>
      <c r="X64" s="114">
        <f t="shared" si="11"/>
        <v>0</v>
      </c>
      <c r="Y64" s="94" t="e">
        <f>'ejecucion OAP'!W46</f>
        <v>#REF!</v>
      </c>
      <c r="Z64" s="137">
        <f t="shared" si="14"/>
        <v>303.34911692999958</v>
      </c>
      <c r="AA64" s="137">
        <f t="shared" si="15"/>
        <v>0</v>
      </c>
      <c r="AB64" s="152">
        <f t="shared" si="16"/>
        <v>0</v>
      </c>
      <c r="AC64" s="152">
        <f t="shared" si="17"/>
        <v>0</v>
      </c>
    </row>
    <row r="65" spans="2:34" ht="29.25" hidden="1" customHeight="1" outlineLevel="1" thickBot="1" x14ac:dyDescent="0.3">
      <c r="B65" s="59"/>
      <c r="C65" s="19"/>
      <c r="E65" s="3">
        <v>213608010</v>
      </c>
      <c r="F65" s="91" t="s">
        <v>183</v>
      </c>
      <c r="G65" s="92">
        <f>('RESERVAS '!P27+'RESERVAS '!P28)/1000000</f>
        <v>1677.703845</v>
      </c>
      <c r="H65" s="92">
        <f>('RESERVAS '!Q27+'RESERVAS '!Q28)/1000000</f>
        <v>1662.7172419999999</v>
      </c>
      <c r="I65" s="93">
        <f t="shared" si="18"/>
        <v>0.9910671939838106</v>
      </c>
      <c r="J65" s="92">
        <f>('RESERVAS '!R27+'RESERVAS '!R28)/1000000</f>
        <v>1159.207414</v>
      </c>
      <c r="K65" s="92" t="e">
        <f>'ejecucion OAP'!E47+'ejecucion OAP'!E48</f>
        <v>#REF!</v>
      </c>
      <c r="L65" s="92" t="e">
        <f>'ejecucion OAP'!F47+'ejecucion OAP'!F48</f>
        <v>#REF!</v>
      </c>
      <c r="M65" s="92" t="e">
        <f>'ejecucion OAP'!G47+'ejecucion OAP'!G48</f>
        <v>#REF!</v>
      </c>
      <c r="N65" s="92">
        <f>'ejecucion OAP'!H47+'ejecucion OAP'!H48</f>
        <v>9377.07</v>
      </c>
      <c r="O65" s="93">
        <f t="shared" si="19"/>
        <v>0.10802011671348777</v>
      </c>
      <c r="P65" s="92" t="e">
        <f>'ejecucion OAP'!I47+'ejecucion OAP'!I48</f>
        <v>#REF!</v>
      </c>
      <c r="Q65" s="94">
        <f>'ejecucion OAP'!N47+'ejecucion OAP'!N48</f>
        <v>6925.7818229999993</v>
      </c>
      <c r="R65" s="93">
        <f t="shared" si="8"/>
        <v>0.73858698111456988</v>
      </c>
      <c r="S65" s="94">
        <f>'ejecucion OAP'!Q47+'ejecucion OAP'!Q48</f>
        <v>4368.3050650000005</v>
      </c>
      <c r="T65" s="93">
        <f t="shared" si="9"/>
        <v>0.46584968065717763</v>
      </c>
      <c r="U65" s="94">
        <f>10602.93-2713</f>
        <v>7889.93</v>
      </c>
      <c r="V65" s="114">
        <f t="shared" si="10"/>
        <v>0.84140675072277382</v>
      </c>
      <c r="W65" s="94">
        <v>2758.8</v>
      </c>
      <c r="X65" s="114">
        <f t="shared" si="11"/>
        <v>0.29420703908576989</v>
      </c>
      <c r="Y65" s="94" t="e">
        <f>'ejecucion OAP'!W47+'ejecucion OAP'!W48</f>
        <v>#REF!</v>
      </c>
      <c r="Z65" s="137">
        <f t="shared" si="14"/>
        <v>964.14817700000094</v>
      </c>
      <c r="AA65" s="149">
        <f t="shared" si="15"/>
        <v>-1609.5050650000003</v>
      </c>
      <c r="AB65" s="94">
        <f t="shared" si="16"/>
        <v>14.986603000000059</v>
      </c>
      <c r="AC65" s="152">
        <f t="shared" si="17"/>
        <v>503.50982799999997</v>
      </c>
    </row>
    <row r="66" spans="2:34" ht="24" hidden="1" customHeight="1" outlineLevel="1" thickBot="1" x14ac:dyDescent="0.3">
      <c r="B66" s="59"/>
      <c r="C66" s="19"/>
      <c r="E66" s="3">
        <v>213608011</v>
      </c>
      <c r="F66" s="91" t="s">
        <v>184</v>
      </c>
      <c r="G66" s="92">
        <f>('RESERVAS '!P29+'RESERVAS '!P30)/1000000</f>
        <v>1381.942008</v>
      </c>
      <c r="H66" s="92">
        <f>('RESERVAS '!Q29+'RESERVAS '!Q30)/1000000</f>
        <v>1381.942008</v>
      </c>
      <c r="I66" s="93">
        <f t="shared" si="18"/>
        <v>1</v>
      </c>
      <c r="J66" s="92">
        <f>('RESERVAS '!R29+'RESERVAS '!R30)/1000000</f>
        <v>1381.942008</v>
      </c>
      <c r="K66" s="92" t="e">
        <f>'ejecucion OAP'!E49</f>
        <v>#REF!</v>
      </c>
      <c r="L66" s="92" t="e">
        <f>'ejecucion OAP'!F49</f>
        <v>#REF!</v>
      </c>
      <c r="M66" s="92" t="e">
        <f>'ejecucion OAP'!G49</f>
        <v>#REF!</v>
      </c>
      <c r="N66" s="92">
        <f>'ejecucion OAP'!H49</f>
        <v>10000</v>
      </c>
      <c r="O66" s="93">
        <f t="shared" si="19"/>
        <v>0.11519602254594213</v>
      </c>
      <c r="P66" s="92" t="e">
        <f>'ejecucion OAP'!I49</f>
        <v>#REF!</v>
      </c>
      <c r="Q66" s="94">
        <f>'ejecucion OAP'!N49</f>
        <v>6704.5296239999998</v>
      </c>
      <c r="R66" s="93">
        <f t="shared" si="8"/>
        <v>0.67045296239999996</v>
      </c>
      <c r="S66" s="94">
        <f>'ejecucion OAP'!Q49</f>
        <v>3474.6849809999999</v>
      </c>
      <c r="T66" s="93">
        <f t="shared" si="9"/>
        <v>0.34746849809999997</v>
      </c>
      <c r="U66" s="94">
        <v>8770</v>
      </c>
      <c r="V66" s="114">
        <f t="shared" si="10"/>
        <v>0.877</v>
      </c>
      <c r="W66" s="94">
        <v>7500</v>
      </c>
      <c r="X66" s="114">
        <f t="shared" si="11"/>
        <v>0.75</v>
      </c>
      <c r="Y66" s="94" t="e">
        <f>'ejecucion OAP'!W49</f>
        <v>#REF!</v>
      </c>
      <c r="Z66" s="137">
        <f t="shared" si="14"/>
        <v>2065.4703760000002</v>
      </c>
      <c r="AA66" s="137">
        <f t="shared" si="15"/>
        <v>4025.3150190000001</v>
      </c>
      <c r="AB66" s="94">
        <f t="shared" si="16"/>
        <v>0</v>
      </c>
      <c r="AC66" s="152">
        <f t="shared" si="17"/>
        <v>0</v>
      </c>
    </row>
    <row r="67" spans="2:34" ht="33" hidden="1" customHeight="1" outlineLevel="1" thickBot="1" x14ac:dyDescent="0.3">
      <c r="B67" s="59"/>
      <c r="C67" s="19"/>
      <c r="E67" s="3">
        <v>213608012</v>
      </c>
      <c r="F67" s="91" t="s">
        <v>185</v>
      </c>
      <c r="G67" s="92">
        <f>('RESERVAS '!P31)/1000000</f>
        <v>4209.1837210000003</v>
      </c>
      <c r="H67" s="92">
        <f>('RESERVAS '!Q31)/1000000</f>
        <v>3095.4614219999999</v>
      </c>
      <c r="I67" s="93">
        <f t="shared" si="18"/>
        <v>0.73540658407388149</v>
      </c>
      <c r="J67" s="92">
        <f>('RESERVAS '!R31)/1000000</f>
        <v>1679.4470209999999</v>
      </c>
      <c r="K67" s="92" t="e">
        <f>'ejecucion OAP'!E50</f>
        <v>#REF!</v>
      </c>
      <c r="L67" s="92" t="e">
        <f>'ejecucion OAP'!F50</f>
        <v>#REF!</v>
      </c>
      <c r="M67" s="92" t="e">
        <f>'ejecucion OAP'!G50</f>
        <v>#REF!</v>
      </c>
      <c r="N67" s="92">
        <f>'ejecucion OAP'!H50</f>
        <v>1077</v>
      </c>
      <c r="O67" s="93">
        <f t="shared" si="19"/>
        <v>1.2406611628197969E-2</v>
      </c>
      <c r="P67" s="92" t="e">
        <f>'ejecucion OAP'!I50</f>
        <v>#REF!</v>
      </c>
      <c r="Q67" s="94">
        <f>'ejecucion OAP'!N50</f>
        <v>292.39241099999998</v>
      </c>
      <c r="R67" s="93">
        <f t="shared" si="8"/>
        <v>0.27148784679665738</v>
      </c>
      <c r="S67" s="94">
        <f>'ejecucion OAP'!Q50</f>
        <v>63.988643000000003</v>
      </c>
      <c r="T67" s="93">
        <f t="shared" si="9"/>
        <v>5.9413781801299907E-2</v>
      </c>
      <c r="U67" s="94">
        <v>339</v>
      </c>
      <c r="V67" s="114">
        <f t="shared" si="10"/>
        <v>0.31476323119777161</v>
      </c>
      <c r="W67" s="94">
        <v>339</v>
      </c>
      <c r="X67" s="114">
        <f t="shared" si="11"/>
        <v>0.31476323119777161</v>
      </c>
      <c r="Y67" s="94" t="e">
        <f>'ejecucion OAP'!W50</f>
        <v>#REF!</v>
      </c>
      <c r="Z67" s="137">
        <f t="shared" si="14"/>
        <v>46.607589000000019</v>
      </c>
      <c r="AA67" s="137">
        <f t="shared" si="15"/>
        <v>275.01135699999998</v>
      </c>
      <c r="AB67" s="94">
        <f t="shared" si="16"/>
        <v>1113.7222990000005</v>
      </c>
      <c r="AC67" s="152">
        <f t="shared" si="17"/>
        <v>1416.0144009999999</v>
      </c>
      <c r="AG67" s="19">
        <f>+U67-339</f>
        <v>0</v>
      </c>
      <c r="AH67" s="19">
        <f>4500-U67</f>
        <v>4161</v>
      </c>
    </row>
    <row r="68" spans="2:34" ht="27" hidden="1" customHeight="1" outlineLevel="1" thickBot="1" x14ac:dyDescent="0.3">
      <c r="B68" s="59"/>
      <c r="C68" s="19"/>
      <c r="E68" s="3">
        <v>213608015</v>
      </c>
      <c r="F68" s="91" t="s">
        <v>186</v>
      </c>
      <c r="G68" s="150"/>
      <c r="H68" s="92"/>
      <c r="I68" s="93">
        <v>0</v>
      </c>
      <c r="J68" s="92">
        <v>0</v>
      </c>
      <c r="K68" s="92" t="e">
        <f>'ejecucion OAP'!E53</f>
        <v>#REF!</v>
      </c>
      <c r="L68" s="92" t="e">
        <f>'ejecucion OAP'!F53</f>
        <v>#REF!</v>
      </c>
      <c r="M68" s="92" t="e">
        <f>'ejecucion OAP'!G53</f>
        <v>#REF!</v>
      </c>
      <c r="N68" s="92">
        <f>'ejecucion OAP'!H53</f>
        <v>300</v>
      </c>
      <c r="O68" s="93">
        <f t="shared" si="19"/>
        <v>3.4558806763782643E-3</v>
      </c>
      <c r="P68" s="92" t="e">
        <f>'ejecucion OAP'!I53</f>
        <v>#REF!</v>
      </c>
      <c r="Q68" s="94">
        <f>'ejecucion OAP'!N53</f>
        <v>0</v>
      </c>
      <c r="R68" s="93">
        <f t="shared" si="8"/>
        <v>0</v>
      </c>
      <c r="S68" s="94">
        <f>'ejecucion OAP'!Q53</f>
        <v>0</v>
      </c>
      <c r="T68" s="93">
        <f t="shared" si="9"/>
        <v>0</v>
      </c>
      <c r="U68" s="94">
        <v>0</v>
      </c>
      <c r="V68" s="114">
        <f t="shared" si="10"/>
        <v>0</v>
      </c>
      <c r="W68" s="94">
        <v>0</v>
      </c>
      <c r="X68" s="114">
        <f t="shared" si="11"/>
        <v>0</v>
      </c>
      <c r="Y68" s="94" t="e">
        <f>'ejecucion OAP'!W53</f>
        <v>#REF!</v>
      </c>
      <c r="Z68" s="137">
        <f t="shared" si="14"/>
        <v>0</v>
      </c>
      <c r="AA68" s="137">
        <f t="shared" si="15"/>
        <v>0</v>
      </c>
      <c r="AB68" s="152">
        <f t="shared" si="16"/>
        <v>0</v>
      </c>
      <c r="AC68" s="152">
        <f t="shared" si="17"/>
        <v>0</v>
      </c>
    </row>
    <row r="69" spans="2:34" ht="26.25" hidden="1" customHeight="1" outlineLevel="1" thickBot="1" x14ac:dyDescent="0.3">
      <c r="B69" s="59"/>
      <c r="C69" s="19"/>
      <c r="E69" s="3">
        <v>213608016</v>
      </c>
      <c r="F69" s="91" t="s">
        <v>187</v>
      </c>
      <c r="G69" s="92">
        <f>('RESERVAS '!P34+'RESERVAS '!P35+'RESERVAS '!P36)/1000000</f>
        <v>6342.1018299999996</v>
      </c>
      <c r="H69" s="92">
        <f>('RESERVAS '!Q34+'RESERVAS '!Q35+'RESERVAS '!Q36)/1000000</f>
        <v>5470.9998670000004</v>
      </c>
      <c r="I69" s="93">
        <f t="shared" si="18"/>
        <v>0.8626477489088189</v>
      </c>
      <c r="J69" s="92">
        <f>('RESERVAS '!R34+'RESERVAS '!R35+'RESERVAS '!R36)/1000000</f>
        <v>4420.8379539999996</v>
      </c>
      <c r="K69" s="96" t="e">
        <f>'ejecucion OAP'!E54+'ejecucion OAP'!E55+'ejecucion OAP'!E56</f>
        <v>#REF!</v>
      </c>
      <c r="L69" s="96" t="e">
        <f>'ejecucion OAP'!F54+'ejecucion OAP'!F55+'ejecucion OAP'!F56</f>
        <v>#REF!</v>
      </c>
      <c r="M69" s="96" t="e">
        <f>'ejecucion OAP'!G54+'ejecucion OAP'!G55+'ejecucion OAP'!G56</f>
        <v>#REF!</v>
      </c>
      <c r="N69" s="96">
        <f>'ejecucion OAP'!H54+'ejecucion OAP'!H55+'ejecucion OAP'!H56</f>
        <v>18447.011942000001</v>
      </c>
      <c r="O69" s="93">
        <f t="shared" si="19"/>
        <v>0.21250224035758961</v>
      </c>
      <c r="P69" s="96" t="e">
        <f>'ejecucion OAP'!I54</f>
        <v>#REF!</v>
      </c>
      <c r="Q69" s="97">
        <f>'ejecucion OAP'!N54+'ejecucion OAP'!N55+'ejecucion OAP'!N56</f>
        <v>9556.0819420000007</v>
      </c>
      <c r="R69" s="93">
        <f t="shared" si="8"/>
        <v>0.51802871771567482</v>
      </c>
      <c r="S69" s="97">
        <f>'ejecucion OAP'!Q54+'ejecucion OAP'!Q55</f>
        <v>1913.2064359999999</v>
      </c>
      <c r="T69" s="93">
        <f t="shared" si="9"/>
        <v>0.10371362267316733</v>
      </c>
      <c r="U69" s="94">
        <v>9556.0819420000007</v>
      </c>
      <c r="V69" s="114">
        <f t="shared" si="10"/>
        <v>0.51802871771567482</v>
      </c>
      <c r="W69" s="94">
        <v>9556.0819420000007</v>
      </c>
      <c r="X69" s="114">
        <f t="shared" si="11"/>
        <v>0.51802871771567482</v>
      </c>
      <c r="Y69" s="94" t="e">
        <f>'ejecucion OAP'!W54+'ejecucion OAP'!W55+'ejecucion OAP'!W56</f>
        <v>#REF!</v>
      </c>
      <c r="Z69" s="137">
        <f t="shared" si="14"/>
        <v>0</v>
      </c>
      <c r="AA69" s="137">
        <f t="shared" si="15"/>
        <v>7642.8755060000003</v>
      </c>
      <c r="AB69" s="94">
        <f t="shared" si="16"/>
        <v>871.10196299999916</v>
      </c>
      <c r="AC69" s="94">
        <f t="shared" si="17"/>
        <v>1050.1619130000008</v>
      </c>
    </row>
    <row r="70" spans="2:34" ht="30.75" customHeight="1" collapsed="1" x14ac:dyDescent="0.25">
      <c r="B70" s="59"/>
      <c r="E70" s="81"/>
      <c r="F70" s="95" t="s">
        <v>237</v>
      </c>
      <c r="G70" s="80">
        <f>SUM(G71:G75)</f>
        <v>333.91309799999999</v>
      </c>
      <c r="H70" s="80">
        <f>SUM(H71:H75)</f>
        <v>333.91309799999999</v>
      </c>
      <c r="I70" s="123">
        <f>+H70/G70</f>
        <v>1</v>
      </c>
      <c r="J70" s="80">
        <f>SUM(J71:J75)</f>
        <v>333.91309799999999</v>
      </c>
      <c r="K70" s="80" t="e">
        <f>SUM(K71:K75)</f>
        <v>#REF!</v>
      </c>
      <c r="L70" s="80" t="e">
        <f t="shared" ref="L70:M70" si="20">SUM(L71:L75)</f>
        <v>#REF!</v>
      </c>
      <c r="M70" s="80" t="e">
        <f t="shared" si="20"/>
        <v>#REF!</v>
      </c>
      <c r="N70" s="80">
        <f>SUM(N71:N75)</f>
        <v>50555</v>
      </c>
      <c r="O70" s="123">
        <f>+N70/N88</f>
        <v>8.3620707936707256E-2</v>
      </c>
      <c r="P70" s="80" t="e">
        <f>SUM(P71:P75)</f>
        <v>#REF!</v>
      </c>
      <c r="Q70" s="80">
        <f>SUM(Q71:Q75)</f>
        <v>45650.698762</v>
      </c>
      <c r="R70" s="89">
        <f t="shared" si="8"/>
        <v>0.90299077760854518</v>
      </c>
      <c r="S70" s="80">
        <f>SUM(S71:S75)</f>
        <v>23798.000393999999</v>
      </c>
      <c r="T70" s="89">
        <f t="shared" si="9"/>
        <v>0.4707348510335278</v>
      </c>
      <c r="U70" s="80">
        <f>SUM(U71:U75)</f>
        <v>46620</v>
      </c>
      <c r="V70" s="113">
        <f t="shared" si="10"/>
        <v>0.92216397982395415</v>
      </c>
      <c r="W70" s="80">
        <f>SUM(W71:W75)</f>
        <v>22602.2</v>
      </c>
      <c r="X70" s="113">
        <f t="shared" si="11"/>
        <v>0.44708139649886264</v>
      </c>
      <c r="Y70" s="80" t="e">
        <f>SUM(Y71:Y75)</f>
        <v>#REF!</v>
      </c>
      <c r="Z70" s="140">
        <f>SUM(Z71:Z75)</f>
        <v>969.3012379999991</v>
      </c>
      <c r="AA70" s="141">
        <f>SUM(AA71:AA75)</f>
        <v>-1195.8003939999985</v>
      </c>
      <c r="AB70" s="80">
        <f>SUM(AB71:AB75)</f>
        <v>0</v>
      </c>
      <c r="AC70" s="80">
        <f>SUM(AC71:AC75)</f>
        <v>0</v>
      </c>
    </row>
    <row r="71" spans="2:34" ht="40.5" hidden="1" customHeight="1" outlineLevel="1" thickBot="1" x14ac:dyDescent="0.3">
      <c r="B71" s="59"/>
      <c r="E71" s="3">
        <v>213608002</v>
      </c>
      <c r="F71" s="91" t="s">
        <v>107</v>
      </c>
      <c r="G71" s="92">
        <f>('RESERVAS '!P21)/1000000</f>
        <v>258.76765</v>
      </c>
      <c r="H71" s="92">
        <f>('RESERVAS '!Q21)/1000000</f>
        <v>258.76765</v>
      </c>
      <c r="I71" s="93">
        <f>+H71/G71</f>
        <v>1</v>
      </c>
      <c r="J71" s="92">
        <f>('RESERVAS '!R21)/1000000</f>
        <v>258.76765</v>
      </c>
      <c r="K71" s="92" t="e">
        <f>'ejecucion OAP'!E38</f>
        <v>#REF!</v>
      </c>
      <c r="L71" s="92" t="e">
        <f>'ejecucion OAP'!F38</f>
        <v>#REF!</v>
      </c>
      <c r="M71" s="92" t="e">
        <f>'ejecucion OAP'!G38</f>
        <v>#REF!</v>
      </c>
      <c r="N71" s="92">
        <f>'ejecucion OAP'!H38</f>
        <v>6915</v>
      </c>
      <c r="O71" s="93">
        <f>+N71/$N$70</f>
        <v>0.13678172287607557</v>
      </c>
      <c r="P71" s="92" t="e">
        <f>'ejecucion OAP'!I38</f>
        <v>#REF!</v>
      </c>
      <c r="Q71" s="94">
        <f>'ejecucion OAP'!N38</f>
        <v>5940.4955330000003</v>
      </c>
      <c r="R71" s="93">
        <f t="shared" si="8"/>
        <v>0.85907382979031099</v>
      </c>
      <c r="S71" s="94">
        <f>'ejecucion OAP'!Q38</f>
        <v>1019.898413</v>
      </c>
      <c r="T71" s="93">
        <f t="shared" si="9"/>
        <v>0.14749073217642805</v>
      </c>
      <c r="U71" s="94">
        <v>6774</v>
      </c>
      <c r="V71" s="114">
        <f t="shared" si="10"/>
        <v>0.97960954446854664</v>
      </c>
      <c r="W71" s="94">
        <v>0</v>
      </c>
      <c r="X71" s="114">
        <f t="shared" si="11"/>
        <v>0</v>
      </c>
      <c r="Y71" s="94" t="e">
        <f>'ejecucion OAP'!W38</f>
        <v>#REF!</v>
      </c>
      <c r="Z71" s="94">
        <f t="shared" ref="Z71:Z75" si="21">+U71-Q71</f>
        <v>833.50446699999975</v>
      </c>
      <c r="AA71" s="149">
        <f t="shared" ref="AA71:AA75" si="22">+W71-S71</f>
        <v>-1019.898413</v>
      </c>
      <c r="AB71" s="94">
        <f>(G71-H71)</f>
        <v>0</v>
      </c>
      <c r="AC71" s="153">
        <f>(H71-J71)</f>
        <v>0</v>
      </c>
    </row>
    <row r="72" spans="2:34" ht="33" hidden="1" customHeight="1" outlineLevel="1" thickBot="1" x14ac:dyDescent="0.3">
      <c r="B72" s="59"/>
      <c r="E72" s="3">
        <v>213608003</v>
      </c>
      <c r="F72" s="91" t="s">
        <v>109</v>
      </c>
      <c r="G72" s="92">
        <f>('RESERVAS '!P22)/1000000</f>
        <v>39.379612999999999</v>
      </c>
      <c r="H72" s="92">
        <f>('RESERVAS '!Q22)/1000000</f>
        <v>39.379612999999999</v>
      </c>
      <c r="I72" s="93">
        <f>+H72/G72</f>
        <v>1</v>
      </c>
      <c r="J72" s="92">
        <f>('RESERVAS '!R22)/1000000</f>
        <v>39.379612999999999</v>
      </c>
      <c r="K72" s="92" t="e">
        <f>'ejecucion OAP'!E39</f>
        <v>#REF!</v>
      </c>
      <c r="L72" s="92" t="e">
        <f>'ejecucion OAP'!F39</f>
        <v>#REF!</v>
      </c>
      <c r="M72" s="92" t="e">
        <f>'ejecucion OAP'!G39</f>
        <v>#REF!</v>
      </c>
      <c r="N72" s="92">
        <f>'ejecucion OAP'!H39</f>
        <v>3877</v>
      </c>
      <c r="O72" s="93">
        <f t="shared" ref="O72:O75" si="23">+N72/$N$70</f>
        <v>7.6688754821481561E-2</v>
      </c>
      <c r="P72" s="92" t="e">
        <f>'ejecucion OAP'!I39</f>
        <v>#REF!</v>
      </c>
      <c r="Q72" s="94">
        <f>'ejecucion OAP'!N39</f>
        <v>2364.6931949999998</v>
      </c>
      <c r="R72" s="93">
        <f t="shared" si="8"/>
        <v>0.60992860330152177</v>
      </c>
      <c r="S72" s="94">
        <f>'ejecucion OAP'!Q39</f>
        <v>1543.5187089999999</v>
      </c>
      <c r="T72" s="93">
        <f t="shared" si="9"/>
        <v>0.39812192648955375</v>
      </c>
      <c r="U72" s="94">
        <v>3666</v>
      </c>
      <c r="V72" s="114">
        <f t="shared" si="10"/>
        <v>0.94557647665720923</v>
      </c>
      <c r="W72" s="94">
        <v>1700</v>
      </c>
      <c r="X72" s="114">
        <f t="shared" si="11"/>
        <v>0.43848336342532884</v>
      </c>
      <c r="Y72" s="94" t="e">
        <f>'ejecucion OAP'!W39</f>
        <v>#REF!</v>
      </c>
      <c r="Z72" s="94">
        <f t="shared" si="21"/>
        <v>1301.3068050000002</v>
      </c>
      <c r="AA72" s="94">
        <f t="shared" si="22"/>
        <v>156.48129100000006</v>
      </c>
      <c r="AB72" s="94">
        <f>(G72-H72)</f>
        <v>0</v>
      </c>
      <c r="AC72" s="153">
        <f>(H72-J72)</f>
        <v>0</v>
      </c>
    </row>
    <row r="73" spans="2:34" ht="30" hidden="1" customHeight="1" outlineLevel="1" thickBot="1" x14ac:dyDescent="0.3">
      <c r="B73" s="59"/>
      <c r="E73" s="3">
        <v>213608008</v>
      </c>
      <c r="F73" s="91" t="s">
        <v>120</v>
      </c>
      <c r="G73" s="150"/>
      <c r="H73" s="92"/>
      <c r="I73" s="93">
        <v>0</v>
      </c>
      <c r="J73" s="92">
        <v>0</v>
      </c>
      <c r="K73" s="92" t="e">
        <f>'ejecucion OAP'!E45</f>
        <v>#REF!</v>
      </c>
      <c r="L73" s="92" t="e">
        <f>'ejecucion OAP'!F45</f>
        <v>#REF!</v>
      </c>
      <c r="M73" s="92" t="e">
        <f>'ejecucion OAP'!G45</f>
        <v>#REF!</v>
      </c>
      <c r="N73" s="92">
        <f>'ejecucion OAP'!H45</f>
        <v>2000</v>
      </c>
      <c r="O73" s="93">
        <f t="shared" si="23"/>
        <v>3.9560874295321929E-2</v>
      </c>
      <c r="P73" s="92" t="e">
        <f>'ejecucion OAP'!I45</f>
        <v>#REF!</v>
      </c>
      <c r="Q73" s="94">
        <f>'ejecucion OAP'!N45</f>
        <v>671.85115800000005</v>
      </c>
      <c r="R73" s="93">
        <f t="shared" si="8"/>
        <v>0.33592557900000003</v>
      </c>
      <c r="S73" s="94">
        <f>'ejecucion OAP'!Q45</f>
        <v>0</v>
      </c>
      <c r="T73" s="93">
        <f t="shared" si="9"/>
        <v>0</v>
      </c>
      <c r="U73" s="94">
        <f>1754-738</f>
        <v>1016</v>
      </c>
      <c r="V73" s="114">
        <f t="shared" si="10"/>
        <v>0.50800000000000001</v>
      </c>
      <c r="W73" s="94">
        <v>526.20000000000005</v>
      </c>
      <c r="X73" s="114">
        <f t="shared" si="11"/>
        <v>0.2631</v>
      </c>
      <c r="Y73" s="94" t="e">
        <f>'ejecucion OAP'!W45</f>
        <v>#REF!</v>
      </c>
      <c r="Z73" s="94">
        <f t="shared" si="21"/>
        <v>344.14884199999995</v>
      </c>
      <c r="AA73" s="94">
        <f t="shared" si="22"/>
        <v>526.20000000000005</v>
      </c>
      <c r="AB73" s="94">
        <f>(G73-H73)</f>
        <v>0</v>
      </c>
      <c r="AC73" s="153">
        <f>(H73-J73)</f>
        <v>0</v>
      </c>
    </row>
    <row r="74" spans="2:34" ht="27" hidden="1" customHeight="1" outlineLevel="1" thickBot="1" x14ac:dyDescent="0.3">
      <c r="B74" s="59"/>
      <c r="E74" s="3">
        <v>213608014</v>
      </c>
      <c r="F74" s="91" t="s">
        <v>135</v>
      </c>
      <c r="G74" s="92">
        <f>('RESERVAS '!P33)/1000000</f>
        <v>0</v>
      </c>
      <c r="H74" s="92">
        <f>('RESERVAS '!Q33)/1000000</f>
        <v>0</v>
      </c>
      <c r="I74" s="93">
        <v>0</v>
      </c>
      <c r="J74" s="92">
        <f>('RESERVAS '!R33)/1000000</f>
        <v>0</v>
      </c>
      <c r="K74" s="92" t="e">
        <f>'ejecucion OAP'!E52</f>
        <v>#REF!</v>
      </c>
      <c r="L74" s="92" t="e">
        <f>'ejecucion OAP'!F52</f>
        <v>#REF!</v>
      </c>
      <c r="M74" s="92" t="e">
        <f>'ejecucion OAP'!G52</f>
        <v>#REF!</v>
      </c>
      <c r="N74" s="92">
        <f>'ejecucion OAP'!H52</f>
        <v>1417</v>
      </c>
      <c r="O74" s="93">
        <f t="shared" si="23"/>
        <v>2.8028879438235586E-2</v>
      </c>
      <c r="P74" s="92" t="e">
        <f>'ejecucion OAP'!I52</f>
        <v>#REF!</v>
      </c>
      <c r="Q74" s="94">
        <f>'ejecucion OAP'!N52</f>
        <v>1382.3594399999999</v>
      </c>
      <c r="R74" s="93">
        <f t="shared" si="8"/>
        <v>0.97555359209597736</v>
      </c>
      <c r="S74" s="94">
        <f>'ejecucion OAP'!Q52</f>
        <v>142.88013000000001</v>
      </c>
      <c r="T74" s="93">
        <f t="shared" si="9"/>
        <v>0.10083283697953423</v>
      </c>
      <c r="U74" s="94">
        <v>1243</v>
      </c>
      <c r="V74" s="114">
        <f t="shared" si="10"/>
        <v>0.87720536344389555</v>
      </c>
      <c r="W74" s="94">
        <v>300</v>
      </c>
      <c r="X74" s="114">
        <f t="shared" si="11"/>
        <v>0.21171489061397319</v>
      </c>
      <c r="Y74" s="94" t="e">
        <f>'ejecucion OAP'!W52</f>
        <v>#REF!</v>
      </c>
      <c r="Z74" s="149">
        <f t="shared" si="21"/>
        <v>-139.35943999999995</v>
      </c>
      <c r="AA74" s="94">
        <f t="shared" si="22"/>
        <v>157.11986999999999</v>
      </c>
      <c r="AB74" s="94">
        <f>(G74-H74)</f>
        <v>0</v>
      </c>
      <c r="AC74" s="153">
        <f>(H74-J74)</f>
        <v>0</v>
      </c>
    </row>
    <row r="75" spans="2:34" ht="39" hidden="1" customHeight="1" outlineLevel="1" thickBot="1" x14ac:dyDescent="0.3">
      <c r="B75" s="59"/>
      <c r="E75" s="3">
        <v>213608034</v>
      </c>
      <c r="F75" s="91" t="s">
        <v>153</v>
      </c>
      <c r="G75" s="92">
        <f>('RESERVAS '!P40)/1000000</f>
        <v>35.765835000000003</v>
      </c>
      <c r="H75" s="92">
        <f>('RESERVAS '!Q40)/1000000</f>
        <v>35.765835000000003</v>
      </c>
      <c r="I75" s="93">
        <f t="shared" ref="I75:I86" si="24">+H75/G75</f>
        <v>1</v>
      </c>
      <c r="J75" s="92">
        <f>('RESERVAS '!R40)/1000000</f>
        <v>35.765835000000003</v>
      </c>
      <c r="K75" s="92" t="e">
        <f>'ejecucion OAP'!E60</f>
        <v>#REF!</v>
      </c>
      <c r="L75" s="92" t="e">
        <f>'ejecucion OAP'!F60</f>
        <v>#REF!</v>
      </c>
      <c r="M75" s="92" t="e">
        <f>'ejecucion OAP'!G60</f>
        <v>#REF!</v>
      </c>
      <c r="N75" s="92">
        <f>'ejecucion OAP'!H60</f>
        <v>36346</v>
      </c>
      <c r="O75" s="93">
        <f t="shared" si="23"/>
        <v>0.71893976856888542</v>
      </c>
      <c r="P75" s="92" t="e">
        <f>'ejecucion OAP'!I60</f>
        <v>#REF!</v>
      </c>
      <c r="Q75" s="94">
        <f>'ejecucion OAP'!N60</f>
        <v>35291.299436000001</v>
      </c>
      <c r="R75" s="93">
        <f t="shared" si="8"/>
        <v>0.97098166059538882</v>
      </c>
      <c r="S75" s="94">
        <f>'ejecucion OAP'!Q60</f>
        <v>21091.703141999998</v>
      </c>
      <c r="T75" s="93">
        <f t="shared" si="9"/>
        <v>0.58030328349749627</v>
      </c>
      <c r="U75" s="94">
        <v>33921</v>
      </c>
      <c r="V75" s="114">
        <f t="shared" si="10"/>
        <v>0.93328014086832112</v>
      </c>
      <c r="W75" s="94">
        <v>20076</v>
      </c>
      <c r="X75" s="114">
        <f t="shared" si="11"/>
        <v>0.55235789357838549</v>
      </c>
      <c r="Y75" s="94" t="e">
        <f>'ejecucion OAP'!W60</f>
        <v>#REF!</v>
      </c>
      <c r="Z75" s="149">
        <f t="shared" si="21"/>
        <v>-1370.2994360000012</v>
      </c>
      <c r="AA75" s="149">
        <f t="shared" si="22"/>
        <v>-1015.7031419999985</v>
      </c>
      <c r="AB75" s="94">
        <f>(G75-H75)</f>
        <v>0</v>
      </c>
      <c r="AC75" s="153">
        <f>(H75-J75)</f>
        <v>0</v>
      </c>
    </row>
    <row r="76" spans="2:34" ht="21" customHeight="1" collapsed="1" x14ac:dyDescent="0.25">
      <c r="B76" s="59"/>
      <c r="E76" s="81"/>
      <c r="F76" s="95" t="s">
        <v>209</v>
      </c>
      <c r="G76" s="80">
        <f>SUM(G77:G78)</f>
        <v>1501.8095990000002</v>
      </c>
      <c r="H76" s="80">
        <f>SUM(H77:H78)</f>
        <v>1501.8095980000001</v>
      </c>
      <c r="I76" s="123">
        <f t="shared" si="24"/>
        <v>0.99999999933413652</v>
      </c>
      <c r="J76" s="80">
        <f>SUM(J77:J78)</f>
        <v>1254.288798</v>
      </c>
      <c r="K76" s="80" t="e">
        <f>SUM(K77:K78)</f>
        <v>#REF!</v>
      </c>
      <c r="L76" s="80" t="e">
        <f t="shared" ref="L76:M76" si="25">SUM(L77:L78)</f>
        <v>#REF!</v>
      </c>
      <c r="M76" s="80" t="e">
        <f t="shared" si="25"/>
        <v>#REF!</v>
      </c>
      <c r="N76" s="80">
        <f>SUM(N77:N78)</f>
        <v>9902</v>
      </c>
      <c r="O76" s="123">
        <f>+N76/N88</f>
        <v>1.6378444268406196E-2</v>
      </c>
      <c r="P76" s="80" t="e">
        <f>SUM(P77:P78)</f>
        <v>#REF!</v>
      </c>
      <c r="Q76" s="80">
        <f>SUM(Q77:Q78)</f>
        <v>8893.72318748</v>
      </c>
      <c r="R76" s="89">
        <f t="shared" si="8"/>
        <v>0.89817442814380932</v>
      </c>
      <c r="S76" s="80">
        <f>SUM(S77:S78)</f>
        <v>5415.4170644799997</v>
      </c>
      <c r="T76" s="89">
        <f t="shared" si="9"/>
        <v>0.54690133957584319</v>
      </c>
      <c r="U76" s="80">
        <f>SUM(U77:U78)</f>
        <v>9607.4049134999987</v>
      </c>
      <c r="V76" s="113">
        <f t="shared" si="10"/>
        <v>0.97024893087255082</v>
      </c>
      <c r="W76" s="80">
        <f>SUM(W77:W78)</f>
        <v>5711.4254894999995</v>
      </c>
      <c r="X76" s="113">
        <f t="shared" si="11"/>
        <v>0.57679514133508381</v>
      </c>
      <c r="Y76" s="80" t="e">
        <f>SUM(Y77:Y78)</f>
        <v>#REF!</v>
      </c>
      <c r="Z76" s="140">
        <f>SUM(Z77:Z78)</f>
        <v>713.68172601999913</v>
      </c>
      <c r="AA76" s="141">
        <f>SUM(AA77:AA78)</f>
        <v>296.00842502000023</v>
      </c>
      <c r="AB76" s="80">
        <f>SUM(AB77:AB78)</f>
        <v>1.0000001111620804E-6</v>
      </c>
      <c r="AC76" s="90">
        <f>SUM(AC77:AC78)</f>
        <v>247.52080000000001</v>
      </c>
    </row>
    <row r="77" spans="2:34" ht="37.5" hidden="1" customHeight="1" outlineLevel="1" thickBot="1" x14ac:dyDescent="0.3">
      <c r="B77" s="59"/>
      <c r="E77" s="3">
        <v>213608018</v>
      </c>
      <c r="F77" s="98" t="s">
        <v>144</v>
      </c>
      <c r="G77" s="92">
        <f>('RESERVAS '!P37)/1000000</f>
        <v>1370.4979410000001</v>
      </c>
      <c r="H77" s="92">
        <f>('RESERVAS '!Q37)/1000000</f>
        <v>1370.49794</v>
      </c>
      <c r="I77" s="93">
        <f t="shared" si="24"/>
        <v>0.99999999927033811</v>
      </c>
      <c r="J77" s="92">
        <f>('RESERVAS '!R37)/1000000</f>
        <v>1122.97714</v>
      </c>
      <c r="K77" s="92" t="e">
        <f>'ejecucion OAP'!E57</f>
        <v>#REF!</v>
      </c>
      <c r="L77" s="92" t="e">
        <f>'ejecucion OAP'!F57</f>
        <v>#REF!</v>
      </c>
      <c r="M77" s="92" t="e">
        <f>'ejecucion OAP'!G57</f>
        <v>#REF!</v>
      </c>
      <c r="N77" s="92">
        <f>'ejecucion OAP'!H57</f>
        <v>4457</v>
      </c>
      <c r="O77" s="93">
        <f>+N77/$N$76</f>
        <v>0.45011108866895577</v>
      </c>
      <c r="P77" s="92" t="e">
        <f>'ejecucion OAP'!I57</f>
        <v>#REF!</v>
      </c>
      <c r="Q77" s="94">
        <f>'ejecucion OAP'!N57</f>
        <v>3992.2350074800001</v>
      </c>
      <c r="R77" s="93">
        <f t="shared" si="8"/>
        <v>0.89572246073143369</v>
      </c>
      <c r="S77" s="94">
        <f>'ejecucion OAP'!Q57</f>
        <v>2270.1676424799998</v>
      </c>
      <c r="T77" s="93">
        <f t="shared" si="9"/>
        <v>0.5093488091720888</v>
      </c>
      <c r="U77" s="94">
        <v>4262.4049134999996</v>
      </c>
      <c r="V77" s="114">
        <f t="shared" si="10"/>
        <v>0.95633944660085246</v>
      </c>
      <c r="W77" s="94">
        <v>2333.7569075000001</v>
      </c>
      <c r="X77" s="114">
        <f t="shared" si="11"/>
        <v>0.52361608873681853</v>
      </c>
      <c r="Y77" s="94" t="e">
        <f>'ejecucion OAP'!W57</f>
        <v>#REF!</v>
      </c>
      <c r="Z77" s="94">
        <f>+U77-Q77</f>
        <v>270.16990601999942</v>
      </c>
      <c r="AA77" s="94">
        <f>+W77-S77</f>
        <v>63.589265020000312</v>
      </c>
      <c r="AB77" s="94">
        <f>(G77-H77)</f>
        <v>1.0000001111620804E-6</v>
      </c>
      <c r="AC77" s="153">
        <f>(H77-J77)</f>
        <v>247.52080000000001</v>
      </c>
    </row>
    <row r="78" spans="2:34" ht="26.25" hidden="1" customHeight="1" outlineLevel="1" thickBot="1" x14ac:dyDescent="0.3">
      <c r="B78" s="59"/>
      <c r="E78" s="3">
        <v>213608019</v>
      </c>
      <c r="F78" s="98" t="s">
        <v>147</v>
      </c>
      <c r="G78" s="92">
        <f>('RESERVAS '!P38)/1000000</f>
        <v>131.31165799999999</v>
      </c>
      <c r="H78" s="92">
        <f>('RESERVAS '!Q38)/1000000</f>
        <v>131.31165799999999</v>
      </c>
      <c r="I78" s="93">
        <f t="shared" si="24"/>
        <v>1</v>
      </c>
      <c r="J78" s="92">
        <f>('RESERVAS '!R38)/1000000</f>
        <v>131.31165799999999</v>
      </c>
      <c r="K78" s="92" t="e">
        <f>'ejecucion OAP'!E58</f>
        <v>#REF!</v>
      </c>
      <c r="L78" s="92" t="e">
        <f>'ejecucion OAP'!F58</f>
        <v>#REF!</v>
      </c>
      <c r="M78" s="92" t="e">
        <f>'ejecucion OAP'!G58</f>
        <v>#REF!</v>
      </c>
      <c r="N78" s="92">
        <f>'ejecucion OAP'!H58</f>
        <v>5445</v>
      </c>
      <c r="O78" s="93">
        <f>+N78/$N$76</f>
        <v>0.54988891133104423</v>
      </c>
      <c r="P78" s="92" t="e">
        <f>'ejecucion OAP'!I58</f>
        <v>#REF!</v>
      </c>
      <c r="Q78" s="94">
        <f>'ejecucion OAP'!N58</f>
        <v>4901.4881800000003</v>
      </c>
      <c r="R78" s="93">
        <f t="shared" si="8"/>
        <v>0.90018148393021125</v>
      </c>
      <c r="S78" s="94">
        <f>'ejecucion OAP'!Q58</f>
        <v>3145.2494219999999</v>
      </c>
      <c r="T78" s="93">
        <f t="shared" si="9"/>
        <v>0.57763993057851237</v>
      </c>
      <c r="U78" s="94">
        <v>5345</v>
      </c>
      <c r="V78" s="114">
        <f t="shared" si="10"/>
        <v>0.98163452708907251</v>
      </c>
      <c r="W78" s="94">
        <v>3377.6685819999998</v>
      </c>
      <c r="X78" s="114">
        <f t="shared" si="11"/>
        <v>0.62032480844811755</v>
      </c>
      <c r="Y78" s="94" t="e">
        <f>'ejecucion OAP'!W58</f>
        <v>#REF!</v>
      </c>
      <c r="Z78" s="94">
        <f>+U78-Q78</f>
        <v>443.51181999999972</v>
      </c>
      <c r="AA78" s="94">
        <f>+W78-S78</f>
        <v>232.41915999999992</v>
      </c>
      <c r="AB78" s="152">
        <f>(G78-H78)</f>
        <v>0</v>
      </c>
      <c r="AC78" s="153">
        <f>(H78-J78)</f>
        <v>0</v>
      </c>
    </row>
    <row r="79" spans="2:34" ht="30.75" customHeight="1" collapsed="1" x14ac:dyDescent="0.25">
      <c r="B79" s="59"/>
      <c r="E79" s="81"/>
      <c r="F79" s="95" t="s">
        <v>238</v>
      </c>
      <c r="G79" s="80">
        <f>SUM(G80:G81)</f>
        <v>1581.359256</v>
      </c>
      <c r="H79" s="80">
        <f>SUM(H80:H81)</f>
        <v>986.55977299999995</v>
      </c>
      <c r="I79" s="123">
        <f t="shared" si="24"/>
        <v>0.62386821290405114</v>
      </c>
      <c r="J79" s="80">
        <f>SUM(J80:J81)</f>
        <v>986.55977299999995</v>
      </c>
      <c r="K79" s="80" t="e">
        <f>SUM(K80:K81)</f>
        <v>#REF!</v>
      </c>
      <c r="L79" s="80" t="e">
        <f t="shared" ref="L79:M79" si="26">SUM(L80:L81)</f>
        <v>#REF!</v>
      </c>
      <c r="M79" s="80" t="e">
        <f t="shared" si="26"/>
        <v>#REF!</v>
      </c>
      <c r="N79" s="80">
        <f>SUM(N80:N81)</f>
        <v>10500</v>
      </c>
      <c r="O79" s="123">
        <f>+N79/N88</f>
        <v>1.7367568654641997E-2</v>
      </c>
      <c r="P79" s="80" t="e">
        <f>SUM(P80:P81)</f>
        <v>#REF!</v>
      </c>
      <c r="Q79" s="80">
        <f>SUM(Q80:Q81)</f>
        <v>7457.9011920000003</v>
      </c>
      <c r="R79" s="89">
        <f t="shared" si="8"/>
        <v>0.71027630400000008</v>
      </c>
      <c r="S79" s="80">
        <f>SUM(S80:S81)</f>
        <v>3007.8562540000003</v>
      </c>
      <c r="T79" s="89">
        <f t="shared" si="9"/>
        <v>0.28646250038095239</v>
      </c>
      <c r="U79" s="80">
        <f>SUM(U80:U81)</f>
        <v>10410.474202000001</v>
      </c>
      <c r="V79" s="113">
        <f t="shared" si="10"/>
        <v>0.99147373352380963</v>
      </c>
      <c r="W79" s="80">
        <f>SUM(W80:W81)</f>
        <v>7927.6815759999999</v>
      </c>
      <c r="X79" s="113">
        <f t="shared" si="11"/>
        <v>0.75501729295238096</v>
      </c>
      <c r="Y79" s="80" t="e">
        <f>SUM(Y80:Y81)</f>
        <v>#REF!</v>
      </c>
      <c r="Z79" s="142">
        <f>SUM(Z80:Z81)</f>
        <v>2952.5730100000005</v>
      </c>
      <c r="AA79" s="142">
        <f>SUM(AA80:AA81)</f>
        <v>4919.8253219999997</v>
      </c>
      <c r="AB79" s="80">
        <f>SUM(AB80:AB81)</f>
        <v>594.7994829999999</v>
      </c>
      <c r="AC79" s="90">
        <f>SUM(AC80:AC81)</f>
        <v>0</v>
      </c>
    </row>
    <row r="80" spans="2:34" ht="27" hidden="1" customHeight="1" outlineLevel="1" thickBot="1" x14ac:dyDescent="0.3">
      <c r="B80" s="59"/>
      <c r="E80" s="3">
        <v>112608001</v>
      </c>
      <c r="F80" s="98" t="s">
        <v>176</v>
      </c>
      <c r="G80" s="92">
        <f>('RESERVAS '!P13)/1000000</f>
        <v>448.25700000000001</v>
      </c>
      <c r="H80" s="92">
        <f>('RESERVAS '!Q13)/1000000</f>
        <v>448.25700000000001</v>
      </c>
      <c r="I80" s="123">
        <f t="shared" si="24"/>
        <v>1</v>
      </c>
      <c r="J80" s="92">
        <f>('RESERVAS '!R13)/1000000</f>
        <v>448.25700000000001</v>
      </c>
      <c r="K80" s="92" t="e">
        <f>'ejecucion OAP'!E31</f>
        <v>#REF!</v>
      </c>
      <c r="L80" s="92" t="e">
        <f>'ejecucion OAP'!F31</f>
        <v>#REF!</v>
      </c>
      <c r="M80" s="92" t="e">
        <f>'ejecucion OAP'!G31</f>
        <v>#REF!</v>
      </c>
      <c r="N80" s="92">
        <f>'ejecucion OAP'!H31</f>
        <v>3000</v>
      </c>
      <c r="O80" s="93">
        <f>+N80/$N$79</f>
        <v>0.2857142857142857</v>
      </c>
      <c r="P80" s="92" t="e">
        <f>'ejecucion OAP'!I31</f>
        <v>#REF!</v>
      </c>
      <c r="Q80" s="94">
        <f>'ejecucion OAP'!N31</f>
        <v>103.660692</v>
      </c>
      <c r="R80" s="93">
        <f t="shared" si="8"/>
        <v>3.4553564000000002E-2</v>
      </c>
      <c r="S80" s="94">
        <f>'ejecucion OAP'!Q31</f>
        <v>47.330795999999999</v>
      </c>
      <c r="T80" s="93">
        <f t="shared" si="9"/>
        <v>1.5776932E-2</v>
      </c>
      <c r="U80" s="94">
        <v>3000</v>
      </c>
      <c r="V80" s="114">
        <f t="shared" si="10"/>
        <v>1</v>
      </c>
      <c r="W80" s="94">
        <v>2984</v>
      </c>
      <c r="X80" s="114">
        <f t="shared" si="11"/>
        <v>0.9946666666666667</v>
      </c>
      <c r="Y80" s="94" t="e">
        <f>'ejecucion OAP'!W31</f>
        <v>#REF!</v>
      </c>
      <c r="Z80" s="149">
        <f t="shared" ref="Z80:Z87" si="27">U80-Q80</f>
        <v>2896.3393080000001</v>
      </c>
      <c r="AA80" s="149">
        <f>W80-S80</f>
        <v>2936.6692039999998</v>
      </c>
      <c r="AB80" s="94">
        <f>(G80-H80)</f>
        <v>0</v>
      </c>
      <c r="AC80" s="153">
        <f>(H80-J80)</f>
        <v>0</v>
      </c>
    </row>
    <row r="81" spans="2:31" ht="39.75" hidden="1" customHeight="1" outlineLevel="1" thickBot="1" x14ac:dyDescent="0.3">
      <c r="B81" s="59"/>
      <c r="E81" s="3">
        <v>510608004</v>
      </c>
      <c r="F81" s="98" t="s">
        <v>190</v>
      </c>
      <c r="G81" s="92">
        <f>('RESERVAS '!P43)/1000000</f>
        <v>1133.1022559999999</v>
      </c>
      <c r="H81" s="92">
        <f>('RESERVAS '!Q43)/1000000</f>
        <v>538.302773</v>
      </c>
      <c r="I81" s="123">
        <f t="shared" si="24"/>
        <v>0.47506989783982922</v>
      </c>
      <c r="J81" s="92">
        <f>('RESERVAS '!R43)/1000000</f>
        <v>538.302773</v>
      </c>
      <c r="K81" s="92" t="e">
        <f>'ejecucion OAP'!E64</f>
        <v>#REF!</v>
      </c>
      <c r="L81" s="92" t="e">
        <f>'ejecucion OAP'!F64</f>
        <v>#REF!</v>
      </c>
      <c r="M81" s="92" t="e">
        <f>'ejecucion OAP'!G64</f>
        <v>#REF!</v>
      </c>
      <c r="N81" s="92">
        <f>'ejecucion OAP'!H64</f>
        <v>7500</v>
      </c>
      <c r="O81" s="93">
        <f>+N81/$N$79</f>
        <v>0.7142857142857143</v>
      </c>
      <c r="P81" s="92" t="e">
        <f>'ejecucion OAP'!I64</f>
        <v>#REF!</v>
      </c>
      <c r="Q81" s="94">
        <f>'ejecucion OAP'!N64</f>
        <v>7354.2404999999999</v>
      </c>
      <c r="R81" s="93">
        <f t="shared" si="8"/>
        <v>0.98056540000000003</v>
      </c>
      <c r="S81" s="94">
        <f>'ejecucion OAP'!Q64</f>
        <v>2960.5254580000001</v>
      </c>
      <c r="T81" s="93">
        <f t="shared" si="9"/>
        <v>0.39473672773333335</v>
      </c>
      <c r="U81" s="94">
        <v>7410.4742020000003</v>
      </c>
      <c r="V81" s="114">
        <f t="shared" si="10"/>
        <v>0.98806322693333337</v>
      </c>
      <c r="W81" s="94">
        <v>4943.6815759999999</v>
      </c>
      <c r="X81" s="114">
        <f t="shared" si="11"/>
        <v>0.65915754346666666</v>
      </c>
      <c r="Y81" s="94" t="e">
        <f>'ejecucion OAP'!W64</f>
        <v>#REF!</v>
      </c>
      <c r="Z81" s="94">
        <f>U81-Q81</f>
        <v>56.233702000000449</v>
      </c>
      <c r="AA81" s="94">
        <f>W81-S81</f>
        <v>1983.1561179999999</v>
      </c>
      <c r="AB81" s="94">
        <f>(G81-H81)</f>
        <v>594.7994829999999</v>
      </c>
      <c r="AC81" s="153">
        <f>(H81-J81)</f>
        <v>0</v>
      </c>
    </row>
    <row r="82" spans="2:31" ht="25.5" customHeight="1" collapsed="1" thickBot="1" x14ac:dyDescent="0.3">
      <c r="B82" s="59"/>
      <c r="E82" s="3"/>
      <c r="F82" s="95" t="s">
        <v>200</v>
      </c>
      <c r="G82" s="80">
        <f>+G83+G84</f>
        <v>70.646535</v>
      </c>
      <c r="H82" s="80">
        <f>+H83+H84</f>
        <v>70.646535</v>
      </c>
      <c r="I82" s="123">
        <f t="shared" si="24"/>
        <v>1</v>
      </c>
      <c r="J82" s="80">
        <f>+J83+J84</f>
        <v>70.646535</v>
      </c>
      <c r="K82" s="80" t="e">
        <f>+K83+K84</f>
        <v>#REF!</v>
      </c>
      <c r="L82" s="80" t="e">
        <f t="shared" ref="L82:M82" si="28">+L83+L84</f>
        <v>#REF!</v>
      </c>
      <c r="M82" s="80" t="e">
        <f t="shared" si="28"/>
        <v>#REF!</v>
      </c>
      <c r="N82" s="80">
        <f>+N83+N84</f>
        <v>4690</v>
      </c>
      <c r="O82" s="123">
        <f>+N82/N88</f>
        <v>7.7575139990734253E-3</v>
      </c>
      <c r="P82" s="80" t="e">
        <f>+P83+P84</f>
        <v>#REF!</v>
      </c>
      <c r="Q82" s="80">
        <f>+Q83+Q84</f>
        <v>3702.3717532199998</v>
      </c>
      <c r="R82" s="89">
        <f>+Q82/N82</f>
        <v>0.78941828426865668</v>
      </c>
      <c r="S82" s="80">
        <f>+S83+S84</f>
        <v>2042.558211</v>
      </c>
      <c r="T82" s="89">
        <f>+S82/N82</f>
        <v>0.43551347782515992</v>
      </c>
      <c r="U82" s="80">
        <f>+U83+U84</f>
        <v>4057</v>
      </c>
      <c r="V82" s="113">
        <f>+U82/N82</f>
        <v>0.86503198294243067</v>
      </c>
      <c r="W82" s="80">
        <f>+W83+W84</f>
        <v>2451.1808310000001</v>
      </c>
      <c r="X82" s="113">
        <f>+W82/N82</f>
        <v>0.52263983603411512</v>
      </c>
      <c r="Y82" s="80" t="e">
        <f>+Y83+Y84</f>
        <v>#REF!</v>
      </c>
      <c r="Z82" s="142">
        <f>+Z83+Z84</f>
        <v>354.62824678000004</v>
      </c>
      <c r="AA82" s="142">
        <f>+AA83+AA84</f>
        <v>408.62262000000021</v>
      </c>
      <c r="AB82" s="90">
        <f>+AB83+AB84</f>
        <v>0</v>
      </c>
      <c r="AC82" s="90">
        <f>+AC83+AC84</f>
        <v>0</v>
      </c>
    </row>
    <row r="83" spans="2:31" ht="35.25" hidden="1" customHeight="1" outlineLevel="1" thickBot="1" x14ac:dyDescent="0.3">
      <c r="B83" s="59"/>
      <c r="E83" s="3">
        <v>510608017</v>
      </c>
      <c r="F83" s="91" t="s">
        <v>167</v>
      </c>
      <c r="G83" s="151">
        <f>('RESERVAS '!P44)/1000000</f>
        <v>0.47791099999999997</v>
      </c>
      <c r="H83" s="151">
        <f>('RESERVAS '!Q44)/1000000</f>
        <v>0.47791099999999997</v>
      </c>
      <c r="I83" s="93">
        <f t="shared" si="24"/>
        <v>1</v>
      </c>
      <c r="J83" s="92">
        <f>('RESERVAS '!R44)/1000000</f>
        <v>0.47791099999999997</v>
      </c>
      <c r="K83" s="92" t="e">
        <f>'ejecucion OAP'!E65</f>
        <v>#REF!</v>
      </c>
      <c r="L83" s="92" t="e">
        <f>'ejecucion OAP'!F65</f>
        <v>#REF!</v>
      </c>
      <c r="M83" s="92" t="e">
        <f>'ejecucion OAP'!G65</f>
        <v>#REF!</v>
      </c>
      <c r="N83" s="92">
        <f>'ejecucion OAP'!H65</f>
        <v>1432</v>
      </c>
      <c r="O83" s="92"/>
      <c r="P83" s="92" t="e">
        <f>'ejecucion OAP'!I65</f>
        <v>#REF!</v>
      </c>
      <c r="Q83" s="94">
        <f>'ejecucion OAP'!N65</f>
        <v>635.52655100000004</v>
      </c>
      <c r="R83" s="93">
        <f t="shared" si="8"/>
        <v>0.44380345740223465</v>
      </c>
      <c r="S83" s="94">
        <f>'ejecucion OAP'!Q65</f>
        <v>359.21000700000002</v>
      </c>
      <c r="T83" s="93">
        <f t="shared" si="9"/>
        <v>0.25084497695530728</v>
      </c>
      <c r="U83" s="146">
        <v>937</v>
      </c>
      <c r="V83" s="114">
        <f t="shared" si="10"/>
        <v>0.65432960893854752</v>
      </c>
      <c r="W83" s="137">
        <v>743.7</v>
      </c>
      <c r="X83" s="114">
        <f t="shared" si="11"/>
        <v>0.51934357541899445</v>
      </c>
      <c r="Y83" s="94" t="e">
        <f>'ejecucion OAP'!W65</f>
        <v>#REF!</v>
      </c>
      <c r="Z83" s="94">
        <f t="shared" si="27"/>
        <v>301.47344899999996</v>
      </c>
      <c r="AA83" s="94">
        <f>+W83-S83</f>
        <v>384.48999300000003</v>
      </c>
      <c r="AB83" s="152">
        <f>(G83-H83)</f>
        <v>0</v>
      </c>
      <c r="AC83" s="152">
        <f>(H83-J83)</f>
        <v>0</v>
      </c>
    </row>
    <row r="84" spans="2:31" ht="29.25" hidden="1" customHeight="1" outlineLevel="1" thickBot="1" x14ac:dyDescent="0.3">
      <c r="B84" s="59"/>
      <c r="E84" s="3"/>
      <c r="F84" s="91" t="s">
        <v>188</v>
      </c>
      <c r="G84" s="92">
        <f>('RESERVAS '!P39)/1000000</f>
        <v>70.168623999999994</v>
      </c>
      <c r="H84" s="92">
        <f>('RESERVAS '!Q39)/1000000</f>
        <v>70.168623999999994</v>
      </c>
      <c r="I84" s="93">
        <f>+H84/G84</f>
        <v>1</v>
      </c>
      <c r="J84" s="92">
        <f>('RESERVAS '!R39)/1000000</f>
        <v>70.168623999999994</v>
      </c>
      <c r="K84" s="92" t="e">
        <f>'ejecucion OAP'!E59</f>
        <v>#REF!</v>
      </c>
      <c r="L84" s="92" t="e">
        <f>'ejecucion OAP'!F59</f>
        <v>#REF!</v>
      </c>
      <c r="M84" s="92" t="e">
        <f>'ejecucion OAP'!G59</f>
        <v>#REF!</v>
      </c>
      <c r="N84" s="92">
        <f>'ejecucion OAP'!H59</f>
        <v>3258</v>
      </c>
      <c r="O84" s="92"/>
      <c r="P84" s="92" t="e">
        <f>'ejecucion OAP'!I59</f>
        <v>#REF!</v>
      </c>
      <c r="Q84" s="94">
        <f>'ejecucion OAP'!N59</f>
        <v>3066.8452022199999</v>
      </c>
      <c r="R84" s="93">
        <f>+Q84/N84</f>
        <v>0.94132756360343772</v>
      </c>
      <c r="S84" s="94">
        <f>'ejecucion OAP'!Q59</f>
        <v>1683.3482039999999</v>
      </c>
      <c r="T84" s="93">
        <f>+S84/N84</f>
        <v>0.51668146224677713</v>
      </c>
      <c r="U84" s="146">
        <v>3120</v>
      </c>
      <c r="V84" s="114">
        <f>+U84/N84</f>
        <v>0.9576427255985267</v>
      </c>
      <c r="W84" s="94">
        <v>1707.4808310000001</v>
      </c>
      <c r="X84" s="114">
        <f>+W84/N84</f>
        <v>0.524088652854512</v>
      </c>
      <c r="Y84" s="94" t="e">
        <f>'ejecucion OAP'!W59</f>
        <v>#REF!</v>
      </c>
      <c r="Z84" s="94">
        <f>+U84-Q84</f>
        <v>53.154797780000081</v>
      </c>
      <c r="AA84" s="94">
        <f>+W84-S84</f>
        <v>24.132627000000184</v>
      </c>
      <c r="AB84" s="152">
        <f>(G84-H84)</f>
        <v>0</v>
      </c>
      <c r="AC84" s="153">
        <f>(H84-J84)</f>
        <v>0</v>
      </c>
    </row>
    <row r="85" spans="2:31" ht="16.5" collapsed="1" thickBot="1" x14ac:dyDescent="0.3">
      <c r="B85" s="59"/>
      <c r="E85" s="3">
        <v>510608002</v>
      </c>
      <c r="F85" s="95" t="s">
        <v>201</v>
      </c>
      <c r="G85" s="83">
        <f>('RESERVAS '!P42)/1000000</f>
        <v>4.3680000000000003</v>
      </c>
      <c r="H85" s="83">
        <f>('RESERVAS '!Q42)/1000000</f>
        <v>4.3680000000000003</v>
      </c>
      <c r="I85" s="123">
        <f t="shared" si="24"/>
        <v>1</v>
      </c>
      <c r="J85" s="83">
        <f>('RESERVAS '!R42)/1000000</f>
        <v>4.3680000000000003</v>
      </c>
      <c r="K85" s="83" t="e">
        <f>'ejecucion OAP'!E63</f>
        <v>#REF!</v>
      </c>
      <c r="L85" s="83" t="e">
        <f>'ejecucion OAP'!F63</f>
        <v>#REF!</v>
      </c>
      <c r="M85" s="83" t="e">
        <f>'ejecucion OAP'!G63</f>
        <v>#REF!</v>
      </c>
      <c r="N85" s="83">
        <f>'ejecucion OAP'!H63</f>
        <v>4000</v>
      </c>
      <c r="O85" s="123">
        <f>+N85/N88</f>
        <v>6.6162166303398084E-3</v>
      </c>
      <c r="P85" s="83" t="e">
        <f>'ejecucion OAP'!I63</f>
        <v>#REF!</v>
      </c>
      <c r="Q85" s="83">
        <f>'ejecucion OAP'!N63</f>
        <v>3765.8366019999999</v>
      </c>
      <c r="R85" s="89">
        <f t="shared" si="8"/>
        <v>0.94145915049999995</v>
      </c>
      <c r="S85" s="83">
        <f>'ejecucion OAP'!Q63</f>
        <v>2674.9586871199999</v>
      </c>
      <c r="T85" s="89">
        <f t="shared" si="9"/>
        <v>0.66873967177999993</v>
      </c>
      <c r="U85" s="80">
        <v>3480</v>
      </c>
      <c r="V85" s="113">
        <f t="shared" si="10"/>
        <v>0.87</v>
      </c>
      <c r="W85" s="80">
        <v>2502.444446</v>
      </c>
      <c r="X85" s="113">
        <f t="shared" si="11"/>
        <v>0.62561111150000004</v>
      </c>
      <c r="Y85" s="90" t="e">
        <f>'ejecucion OAP'!W63</f>
        <v>#REF!</v>
      </c>
      <c r="Z85" s="149">
        <f t="shared" si="27"/>
        <v>-285.83660199999986</v>
      </c>
      <c r="AA85" s="149">
        <f>+W85-S85</f>
        <v>-172.51424111999995</v>
      </c>
      <c r="AB85" s="90">
        <f>(G85-H85)</f>
        <v>0</v>
      </c>
      <c r="AC85" s="90">
        <f>(H85-J85)</f>
        <v>0</v>
      </c>
    </row>
    <row r="86" spans="2:31" ht="16.5" thickBot="1" x14ac:dyDescent="0.3">
      <c r="B86" s="59"/>
      <c r="E86" s="3">
        <v>213608013</v>
      </c>
      <c r="F86" s="95" t="s">
        <v>202</v>
      </c>
      <c r="G86" s="83">
        <f>('RESERVAS '!P32)/1000000</f>
        <v>131.90721500000001</v>
      </c>
      <c r="H86" s="83">
        <f>('RESERVAS '!Q32)/1000000</f>
        <v>131.90721500000001</v>
      </c>
      <c r="I86" s="123">
        <f t="shared" si="24"/>
        <v>1</v>
      </c>
      <c r="J86" s="83">
        <f>('RESERVAS '!R32)/1000000</f>
        <v>131.90721500000001</v>
      </c>
      <c r="K86" s="83" t="e">
        <f>'ejecucion OAP'!E51</f>
        <v>#REF!</v>
      </c>
      <c r="L86" s="83" t="e">
        <f>'ejecucion OAP'!F51</f>
        <v>#REF!</v>
      </c>
      <c r="M86" s="83" t="e">
        <f>'ejecucion OAP'!G51</f>
        <v>#REF!</v>
      </c>
      <c r="N86" s="83">
        <f>'ejecucion OAP'!H51</f>
        <v>2990</v>
      </c>
      <c r="O86" s="165">
        <f>+N86/N88</f>
        <v>4.945621931179007E-3</v>
      </c>
      <c r="P86" s="83" t="e">
        <f>'ejecucion OAP'!I51</f>
        <v>#REF!</v>
      </c>
      <c r="Q86" s="83">
        <f>'ejecucion OAP'!N51</f>
        <v>2453.61</v>
      </c>
      <c r="R86" s="89">
        <f t="shared" si="8"/>
        <v>0.82060535117056865</v>
      </c>
      <c r="S86" s="83">
        <f>'ejecucion OAP'!Q51</f>
        <v>1747.2810910000001</v>
      </c>
      <c r="T86" s="89">
        <f t="shared" si="9"/>
        <v>0.58437494682274249</v>
      </c>
      <c r="U86" s="135">
        <v>2440</v>
      </c>
      <c r="V86" s="113">
        <f t="shared" si="10"/>
        <v>0.81605351170568563</v>
      </c>
      <c r="W86" s="135">
        <v>1610</v>
      </c>
      <c r="X86" s="113">
        <f t="shared" si="11"/>
        <v>0.53846153846153844</v>
      </c>
      <c r="Y86" s="90" t="e">
        <f>'ejecucion OAP'!W51</f>
        <v>#REF!</v>
      </c>
      <c r="Z86" s="149">
        <f t="shared" si="27"/>
        <v>-13.610000000000127</v>
      </c>
      <c r="AA86" s="142">
        <f>+W86-S86</f>
        <v>-137.28109100000006</v>
      </c>
      <c r="AB86" s="90">
        <f>(G86-H86)</f>
        <v>0</v>
      </c>
      <c r="AC86" s="90">
        <f>(H86-J86)</f>
        <v>0</v>
      </c>
    </row>
    <row r="87" spans="2:31" ht="15.75" x14ac:dyDescent="0.25">
      <c r="B87" s="59"/>
      <c r="E87" s="3">
        <v>320608001</v>
      </c>
      <c r="F87" s="95" t="s">
        <v>203</v>
      </c>
      <c r="G87" s="83"/>
      <c r="H87" s="83"/>
      <c r="I87" s="123">
        <v>0</v>
      </c>
      <c r="J87" s="83">
        <f>(0)/1000000</f>
        <v>0</v>
      </c>
      <c r="K87" s="83" t="e">
        <f>'ejecucion OAP'!E61</f>
        <v>#REF!</v>
      </c>
      <c r="L87" s="83" t="e">
        <f>'ejecucion OAP'!F61</f>
        <v>#REF!</v>
      </c>
      <c r="M87" s="83" t="e">
        <f>'ejecucion OAP'!G61</f>
        <v>#REF!</v>
      </c>
      <c r="N87" s="83">
        <f>'ejecucion OAP'!H61</f>
        <v>2500</v>
      </c>
      <c r="O87" s="165">
        <f>+N87/N88</f>
        <v>4.1351353939623799E-3</v>
      </c>
      <c r="P87" s="83" t="e">
        <f>'ejecucion OAP'!I61</f>
        <v>#REF!</v>
      </c>
      <c r="Q87" s="83">
        <f>'ejecucion OAP'!N61</f>
        <v>2398.5778213200001</v>
      </c>
      <c r="R87" s="89">
        <f t="shared" si="8"/>
        <v>0.95943112852800005</v>
      </c>
      <c r="S87" s="83">
        <f>'ejecucion OAP'!Q61</f>
        <v>1031.51475332</v>
      </c>
      <c r="T87" s="89">
        <f t="shared" si="9"/>
        <v>0.41260590132799996</v>
      </c>
      <c r="U87" s="135">
        <v>2500</v>
      </c>
      <c r="V87" s="113">
        <f t="shared" si="10"/>
        <v>1</v>
      </c>
      <c r="W87" s="135">
        <v>1513.49</v>
      </c>
      <c r="X87" s="113">
        <f t="shared" si="11"/>
        <v>0.60539600000000005</v>
      </c>
      <c r="Y87" s="90" t="e">
        <f>'ejecucion OAP'!W61</f>
        <v>#REF!</v>
      </c>
      <c r="Z87" s="143">
        <f t="shared" si="27"/>
        <v>101.42217867999989</v>
      </c>
      <c r="AA87" s="142">
        <f>+W87-S87</f>
        <v>481.97524668000005</v>
      </c>
      <c r="AB87" s="90">
        <f>(G87-H87)</f>
        <v>0</v>
      </c>
      <c r="AC87" s="90">
        <f>(H87-J87)</f>
        <v>0</v>
      </c>
    </row>
    <row r="88" spans="2:31" ht="35.25" customHeight="1" thickBot="1" x14ac:dyDescent="0.3">
      <c r="E88" s="81"/>
      <c r="F88" s="169" t="s">
        <v>197</v>
      </c>
      <c r="G88" s="106">
        <f>G48+G58+G70+G76+G79+G82+G85+G86+G87</f>
        <v>155790.434136</v>
      </c>
      <c r="H88" s="106">
        <f>H48+H58+H70+H76+H79+H82+H85+H86+H87</f>
        <v>88568.203692000025</v>
      </c>
      <c r="I88" s="124">
        <f>+H88/G88</f>
        <v>0.56850861340230208</v>
      </c>
      <c r="J88" s="106">
        <f>J48+J58+J70+J76+J79+J82+J85+J86+J87</f>
        <v>75344.393975000014</v>
      </c>
      <c r="K88" s="106" t="e">
        <f>K48+K58+K70+K76+K79+K82+K85+K86+K87</f>
        <v>#REF!</v>
      </c>
      <c r="L88" s="106" t="e">
        <f t="shared" ref="L88:M88" si="29">L48+L58+L70+L76+L79+L82+L85+L86+L87</f>
        <v>#REF!</v>
      </c>
      <c r="M88" s="106" t="e">
        <f t="shared" si="29"/>
        <v>#REF!</v>
      </c>
      <c r="N88" s="106">
        <f>N48+N58+N70+N76+N79+N82+N85+N86+N87</f>
        <v>604575.12555699982</v>
      </c>
      <c r="O88" s="124">
        <f>+N88/N94</f>
        <v>0.64541177449499332</v>
      </c>
      <c r="P88" s="106" t="e">
        <f>P48+P58+P70+P76+P79+P82+P85+P86+P87</f>
        <v>#REF!</v>
      </c>
      <c r="Q88" s="106">
        <f>Q48+Q58+Q70+Q76+Q79+Q82+Q85+Q86+Q87</f>
        <v>531958.53375182021</v>
      </c>
      <c r="R88" s="100">
        <f t="shared" si="8"/>
        <v>0.87988822441499326</v>
      </c>
      <c r="S88" s="106">
        <f>S48+S58+S70+S76+S79+S82+S85+S86+S87</f>
        <v>181733.63630072001</v>
      </c>
      <c r="T88" s="100">
        <f>+S88/N88</f>
        <v>0.30059727669623754</v>
      </c>
      <c r="U88" s="106">
        <f>U48+U58+U70+U76+U79+U82+U85+U86+U87</f>
        <v>567034.37035098986</v>
      </c>
      <c r="V88" s="115">
        <f t="shared" si="10"/>
        <v>0.9379055577726203</v>
      </c>
      <c r="W88" s="106">
        <f>W48+W58+W70+W76+W79+W82+W85+W86+W87</f>
        <v>319087.08517639828</v>
      </c>
      <c r="X88" s="115">
        <f t="shared" si="11"/>
        <v>0.52778731986768535</v>
      </c>
      <c r="Y88" s="106" t="e">
        <f t="shared" ref="Y88:AB88" si="30">Y48+Y58+Y70+Y76+Y79+Y82+Y85+Y86+Y87</f>
        <v>#REF!</v>
      </c>
      <c r="Z88" s="144">
        <f>Z48+Z58+Z70+Z76+Z79+Z82+Z85+Z86+Z87</f>
        <v>37271.269325169982</v>
      </c>
      <c r="AA88" s="161">
        <f t="shared" si="30"/>
        <v>137353.44887567832</v>
      </c>
      <c r="AB88" s="173">
        <f t="shared" si="30"/>
        <v>67222.230443999986</v>
      </c>
      <c r="AC88" s="106">
        <f>+AC87+AC86+AC85+AC83+AC79+AC76+AC70+AC58+AC48</f>
        <v>13223.809717000004</v>
      </c>
    </row>
    <row r="89" spans="2:31" ht="24.75" customHeight="1" thickBot="1" x14ac:dyDescent="0.3">
      <c r="F89" s="169" t="s">
        <v>204</v>
      </c>
      <c r="G89" s="107">
        <f>SUM(G90:G93)</f>
        <v>1429.127534</v>
      </c>
      <c r="H89" s="107">
        <f>SUM(H90:H93)</f>
        <v>1409.0110970000001</v>
      </c>
      <c r="I89" s="124">
        <f>+H89/G89</f>
        <v>0.98592397352831362</v>
      </c>
      <c r="J89" s="107">
        <f>SUM(J90:J93)</f>
        <v>1409.0110970000001</v>
      </c>
      <c r="K89" s="107" t="e">
        <f>SUM(K90:K93)</f>
        <v>#REF!</v>
      </c>
      <c r="L89" s="107" t="e">
        <f t="shared" ref="L89:M89" si="31">SUM(L90:L93)</f>
        <v>#REF!</v>
      </c>
      <c r="M89" s="107" t="e">
        <f t="shared" si="31"/>
        <v>#REF!</v>
      </c>
      <c r="N89" s="107">
        <f>SUM(N90:N93)</f>
        <v>332152.634066</v>
      </c>
      <c r="O89" s="164">
        <f>+N89/N94</f>
        <v>0.35458822550500674</v>
      </c>
      <c r="P89" s="107" t="e">
        <f>SUM(P90:P93)</f>
        <v>#REF!</v>
      </c>
      <c r="Q89" s="107">
        <f>SUM(Q90:Q93)</f>
        <v>228318.17467699997</v>
      </c>
      <c r="R89" s="102">
        <f>+Q89/N89</f>
        <v>0.68738932424552823</v>
      </c>
      <c r="S89" s="107">
        <f>SUM(S90:S93)</f>
        <v>218151.45196799998</v>
      </c>
      <c r="T89" s="102">
        <f t="shared" si="9"/>
        <v>0.65678073751073263</v>
      </c>
      <c r="U89" s="107">
        <f>SUM(U90:U93)</f>
        <v>233115.29484766145</v>
      </c>
      <c r="V89" s="147">
        <f t="shared" si="10"/>
        <v>0.70183184156637024</v>
      </c>
      <c r="W89" s="107">
        <f>SUM(W90:W93)</f>
        <v>219950.87585952156</v>
      </c>
      <c r="X89" s="147">
        <f t="shared" si="11"/>
        <v>0.6621981983614692</v>
      </c>
      <c r="Y89" s="107" t="e">
        <f>SUM(Y90:Y93)</f>
        <v>#REF!</v>
      </c>
      <c r="Z89" s="162">
        <f>SUM(Z90:Z93)</f>
        <v>4797.1201706614593</v>
      </c>
      <c r="AA89" s="145">
        <f>SUM(AA90:AA93)</f>
        <v>1799.4238915215847</v>
      </c>
      <c r="AB89" s="107">
        <f>AB90+AB91</f>
        <v>20.116436999999905</v>
      </c>
      <c r="AC89" s="155">
        <f>AC90+AC91+AC92+AC93</f>
        <v>0</v>
      </c>
    </row>
    <row r="90" spans="2:31" ht="21.75" customHeight="1" thickBot="1" x14ac:dyDescent="0.3">
      <c r="F90" s="103" t="s">
        <v>239</v>
      </c>
      <c r="G90" s="92">
        <f>('RESERVAS '!P5)/1000000</f>
        <v>0.66666700000000001</v>
      </c>
      <c r="H90" s="92">
        <f>('RESERVAS '!Q5)/1000000</f>
        <v>0.66666700000000001</v>
      </c>
      <c r="I90" s="93">
        <f>+H90/G90</f>
        <v>1</v>
      </c>
      <c r="J90" s="92">
        <f>('RESERVAS '!R5)/1000000</f>
        <v>0.66666700000000001</v>
      </c>
      <c r="K90" s="92" t="e">
        <f>'ejecucion OAP'!E5+'ejecucion OAP'!E6+'ejecucion OAP'!E7+'ejecucion OAP'!E8+'ejecucion OAP'!E9+'ejecucion OAP'!E10+'ejecucion OAP'!E11+'ejecucion OAP'!E12</f>
        <v>#REF!</v>
      </c>
      <c r="L90" s="92" t="e">
        <f>'ejecucion OAP'!F5+'ejecucion OAP'!F6+'ejecucion OAP'!F7+'ejecucion OAP'!F8+'ejecucion OAP'!F9+'ejecucion OAP'!F10+'ejecucion OAP'!F11+'ejecucion OAP'!F12</f>
        <v>#REF!</v>
      </c>
      <c r="M90" s="92" t="e">
        <f>'ejecucion OAP'!G5+'ejecucion OAP'!G6+'ejecucion OAP'!G7+'ejecucion OAP'!G8+'ejecucion OAP'!G9+'ejecucion OAP'!G10+'ejecucion OAP'!G11+'ejecucion OAP'!G12</f>
        <v>#REF!</v>
      </c>
      <c r="N90" s="92">
        <f>'ejecucion OAP'!H5+'ejecucion OAP'!H6+'ejecucion OAP'!H7+'ejecucion OAP'!H8+'ejecucion OAP'!H9+'ejecucion OAP'!H10+'ejecucion OAP'!H11+'ejecucion OAP'!H12</f>
        <v>255094.72706599999</v>
      </c>
      <c r="O90" s="93">
        <f>+N90/N89</f>
        <v>0.76800452834979382</v>
      </c>
      <c r="P90" s="116" t="e">
        <f>'ejecucion OAP'!I5+'ejecucion OAP'!I6+'ejecucion OAP'!I7+'ejecucion OAP'!I8+'ejecucion OAP'!I9+'ejecucion OAP'!I10+'ejecucion OAP'!I12</f>
        <v>#REF!</v>
      </c>
      <c r="Q90" s="92">
        <f>+'ejecucion OAP'!N5+'ejecucion OAP'!N6+'ejecucion OAP'!N7+'ejecucion OAP'!N8+'ejecucion OAP'!N9+'ejecucion OAP'!N10+'ejecucion OAP'!N12+'ejecucion OAP'!H11</f>
        <v>169742.99183300001</v>
      </c>
      <c r="R90" s="93">
        <f t="shared" si="8"/>
        <v>0.66541160527039367</v>
      </c>
      <c r="S90" s="92">
        <f>+'ejecucion OAP'!Q5+'ejecucion OAP'!Q6+'ejecucion OAP'!Q7+'ejecucion OAP'!Q8+'ejecucion OAP'!Q9+'ejecucion OAP'!Q10+'ejecucion OAP'!Q12+'ejecucion OAP'!Q11</f>
        <v>166950.46397399998</v>
      </c>
      <c r="T90" s="93">
        <f t="shared" si="9"/>
        <v>0.65446458221304327</v>
      </c>
      <c r="U90" s="94">
        <v>174955.56983069336</v>
      </c>
      <c r="V90" s="114">
        <f t="shared" si="10"/>
        <v>0.68584549685900631</v>
      </c>
      <c r="W90" s="94">
        <v>166641.00754505047</v>
      </c>
      <c r="X90" s="114">
        <f t="shared" si="11"/>
        <v>0.65325147823198981</v>
      </c>
      <c r="Y90" s="94" t="e">
        <f>'ejecucion OAP'!W5+'ejecucion OAP'!W6+'ejecucion OAP'!W7+'ejecucion OAP'!W8+'ejecucion OAP'!W9+'ejecucion OAP'!W10+'ejecucion OAP'!W12</f>
        <v>#REF!</v>
      </c>
      <c r="Z90" s="158">
        <f>U90-Q90</f>
        <v>5212.5779976933554</v>
      </c>
      <c r="AA90" s="158">
        <f>W90-S90</f>
        <v>-309.45642894951743</v>
      </c>
      <c r="AB90" s="92">
        <v>0</v>
      </c>
      <c r="AC90" s="92">
        <f>(H90-J90)</f>
        <v>0</v>
      </c>
    </row>
    <row r="91" spans="2:31" ht="22.5" customHeight="1" thickBot="1" x14ac:dyDescent="0.3">
      <c r="F91" s="103" t="s">
        <v>240</v>
      </c>
      <c r="G91" s="92">
        <f>('RESERVAS '!P6)/1000000</f>
        <v>1428.460867</v>
      </c>
      <c r="H91" s="92">
        <f>('RESERVAS '!Q6)/1000000</f>
        <v>1408.3444300000001</v>
      </c>
      <c r="I91" s="93">
        <f>+H91/G91</f>
        <v>0.98591740420425533</v>
      </c>
      <c r="J91" s="92">
        <f>('RESERVAS '!R6)/1000000</f>
        <v>1408.3444300000001</v>
      </c>
      <c r="K91" s="92" t="e">
        <f>+'ejecucion OAP'!E13+'ejecucion OAP'!E14</f>
        <v>#REF!</v>
      </c>
      <c r="L91" s="92" t="e">
        <f>+'ejecucion OAP'!F13+'ejecucion OAP'!F14</f>
        <v>#REF!</v>
      </c>
      <c r="M91" s="92" t="e">
        <f>+'ejecucion OAP'!G13+'ejecucion OAP'!G14</f>
        <v>#REF!</v>
      </c>
      <c r="N91" s="92">
        <f>+'ejecucion OAP'!H13+'ejecucion OAP'!H14</f>
        <v>34574.906999999999</v>
      </c>
      <c r="O91" s="93">
        <f>+N91/N89</f>
        <v>0.10409343010999525</v>
      </c>
      <c r="P91" s="92" t="e">
        <f>'ejecucion OAP'!I13+'ejecucion OAP'!I14</f>
        <v>#REF!</v>
      </c>
      <c r="Q91" s="92">
        <f>+'ejecucion OAP'!N13+'ejecucion OAP'!N14</f>
        <v>27194.106594999997</v>
      </c>
      <c r="R91" s="93">
        <f t="shared" si="8"/>
        <v>0.78652725211957908</v>
      </c>
      <c r="S91" s="92">
        <f>+'ejecucion OAP'!Q13+'ejecucion OAP'!Q14</f>
        <v>19823.841346999998</v>
      </c>
      <c r="T91" s="93">
        <f t="shared" si="9"/>
        <v>0.57335920952730246</v>
      </c>
      <c r="U91" s="94">
        <v>25556.981820468001</v>
      </c>
      <c r="V91" s="114">
        <f t="shared" si="10"/>
        <v>0.73917716743151329</v>
      </c>
      <c r="W91" s="94">
        <v>20707.125117971002</v>
      </c>
      <c r="X91" s="114">
        <f t="shared" si="11"/>
        <v>0.59890616966723875</v>
      </c>
      <c r="Y91" s="94" t="e">
        <f>'ejecucion OAP'!W13+'ejecucion OAP'!W14</f>
        <v>#REF!</v>
      </c>
      <c r="Z91" s="149">
        <f>U91-Q91</f>
        <v>-1637.1247745319961</v>
      </c>
      <c r="AA91" s="158">
        <f>W91-S91</f>
        <v>883.28377097100383</v>
      </c>
      <c r="AB91" s="92">
        <f>(G91-H91)</f>
        <v>20.116436999999905</v>
      </c>
      <c r="AC91" s="92">
        <f>(H91-J91)</f>
        <v>0</v>
      </c>
    </row>
    <row r="92" spans="2:31" ht="17.25" customHeight="1" thickBot="1" x14ac:dyDescent="0.3">
      <c r="F92" s="103" t="s">
        <v>171</v>
      </c>
      <c r="G92" s="92">
        <v>0</v>
      </c>
      <c r="H92" s="92">
        <v>0</v>
      </c>
      <c r="I92" s="93">
        <v>0</v>
      </c>
      <c r="J92" s="92">
        <v>0</v>
      </c>
      <c r="K92" s="92" t="e">
        <f>'ejecucion OAP'!E15+'ejecucion OAP'!E16+'ejecucion OAP'!E17+'ejecucion OAP'!E18</f>
        <v>#REF!</v>
      </c>
      <c r="L92" s="92" t="e">
        <f>'ejecucion OAP'!F15+'ejecucion OAP'!F16+'ejecucion OAP'!F17+'ejecucion OAP'!F18</f>
        <v>#REF!</v>
      </c>
      <c r="M92" s="92" t="e">
        <f>'ejecucion OAP'!G15+'ejecucion OAP'!G16+'ejecucion OAP'!G17+'ejecucion OAP'!G18</f>
        <v>#REF!</v>
      </c>
      <c r="N92" s="92">
        <f>'ejecucion OAP'!H15+'ejecucion OAP'!H16+'ejecucion OAP'!H17+'ejecucion OAP'!H18</f>
        <v>21222.400000000001</v>
      </c>
      <c r="O92" s="93">
        <f>+N92/N89</f>
        <v>6.3893517086433912E-2</v>
      </c>
      <c r="P92" s="92" t="e">
        <f>'ejecucion OAP'!I15+'ejecucion OAP'!I16+'ejecucion OAP'!I17+'ejecucion OAP'!I18</f>
        <v>#REF!</v>
      </c>
      <c r="Q92" s="92">
        <f>'ejecucion OAP'!N15+'ejecucion OAP'!N16+'ejecucion OAP'!N17+'ejecucion OAP'!N18</f>
        <v>11661.106373000001</v>
      </c>
      <c r="R92" s="93">
        <f t="shared" si="8"/>
        <v>0.54947161362522612</v>
      </c>
      <c r="S92" s="92">
        <f>'ejecucion OAP'!Q15+'ejecucion OAP'!Q16+'ejecucion OAP'!Q17+'ejecucion OAP'!Q18</f>
        <v>11659.770375</v>
      </c>
      <c r="T92" s="93">
        <f t="shared" si="9"/>
        <v>0.54940866136723454</v>
      </c>
      <c r="U92" s="94">
        <v>12919.414796500101</v>
      </c>
      <c r="V92" s="114">
        <f t="shared" si="10"/>
        <v>0.60876313689781081</v>
      </c>
      <c r="W92" s="94">
        <v>12919.414796500101</v>
      </c>
      <c r="X92" s="114">
        <f t="shared" si="11"/>
        <v>0.60876313689781081</v>
      </c>
      <c r="Y92" s="94" t="e">
        <f>'ejecucion OAP'!W15+'ejecucion OAP'!W16+'ejecucion OAP'!W17+'ejecucion OAP'!W18+'ejecucion OAP'!W19</f>
        <v>#REF!</v>
      </c>
      <c r="Z92" s="158">
        <f>U92-Q92</f>
        <v>1258.3084235001006</v>
      </c>
      <c r="AA92" s="158">
        <f>W92-S92</f>
        <v>1259.6444215001011</v>
      </c>
      <c r="AB92" s="92">
        <f>(G92-H92)</f>
        <v>0</v>
      </c>
      <c r="AC92" s="92">
        <f>(H92-J92)</f>
        <v>0</v>
      </c>
    </row>
    <row r="93" spans="2:31" ht="17.25" customHeight="1" thickBot="1" x14ac:dyDescent="0.3">
      <c r="F93" s="103" t="s">
        <v>172</v>
      </c>
      <c r="G93" s="92">
        <v>0</v>
      </c>
      <c r="H93" s="92">
        <v>0</v>
      </c>
      <c r="I93" s="93">
        <v>0</v>
      </c>
      <c r="J93" s="92">
        <v>0</v>
      </c>
      <c r="K93" s="92" t="e">
        <f>+'ejecucion OAP'!E19+'ejecucion OAP'!E20</f>
        <v>#REF!</v>
      </c>
      <c r="L93" s="92" t="e">
        <f>+'ejecucion OAP'!F19+'ejecucion OAP'!F20</f>
        <v>#REF!</v>
      </c>
      <c r="M93" s="92" t="e">
        <f>+'ejecucion OAP'!G19+'ejecucion OAP'!G20</f>
        <v>#REF!</v>
      </c>
      <c r="N93" s="92">
        <f>+'ejecucion OAP'!H19+'ejecucion OAP'!H20</f>
        <v>21260.600000000002</v>
      </c>
      <c r="O93" s="93">
        <f>+N93/N89</f>
        <v>6.4008524453776999E-2</v>
      </c>
      <c r="P93" s="92" t="e">
        <f>'ejecucion OAP'!I19+'ejecucion OAP'!I20</f>
        <v>#REF!</v>
      </c>
      <c r="Q93" s="92">
        <f>+'ejecucion OAP'!N19+'ejecucion OAP'!N20</f>
        <v>19719.969875999999</v>
      </c>
      <c r="R93" s="93">
        <f t="shared" si="8"/>
        <v>0.92753590566587951</v>
      </c>
      <c r="S93" s="92">
        <f>+'ejecucion OAP'!Q19+'ejecucion OAP'!Q20</f>
        <v>19717.376272000001</v>
      </c>
      <c r="T93" s="93">
        <f t="shared" si="9"/>
        <v>0.92741391456496991</v>
      </c>
      <c r="U93" s="94">
        <v>19683.328399999999</v>
      </c>
      <c r="V93" s="114">
        <f t="shared" si="10"/>
        <v>0.9258124606078848</v>
      </c>
      <c r="W93" s="94">
        <v>19683.328399999999</v>
      </c>
      <c r="X93" s="114">
        <f t="shared" si="11"/>
        <v>0.9258124606078848</v>
      </c>
      <c r="Y93" s="94" t="e">
        <f>'ejecucion OAP'!W19+'ejecucion OAP'!W20</f>
        <v>#REF!</v>
      </c>
      <c r="Z93" s="149">
        <f>U93-Q93</f>
        <v>-36.641476000000694</v>
      </c>
      <c r="AA93" s="149">
        <f>W93-S93</f>
        <v>-34.047872000002826</v>
      </c>
      <c r="AB93" s="92">
        <f>(G93-H93)</f>
        <v>0</v>
      </c>
      <c r="AC93" s="92">
        <f>(H93-J93)</f>
        <v>0</v>
      </c>
    </row>
    <row r="94" spans="2:31" ht="40.5" customHeight="1" thickBot="1" x14ac:dyDescent="0.3">
      <c r="E94" s="122">
        <v>1000000</v>
      </c>
      <c r="F94" s="104" t="s">
        <v>205</v>
      </c>
      <c r="G94" s="107">
        <f>+G89+G88</f>
        <v>157219.56167</v>
      </c>
      <c r="H94" s="107">
        <f>+H89+H88</f>
        <v>89977.21478900002</v>
      </c>
      <c r="I94" s="105">
        <f>+H94/G94</f>
        <v>0.57230292358822366</v>
      </c>
      <c r="J94" s="107">
        <f t="shared" ref="J94:Q94" si="32">+J89+J88</f>
        <v>76753.405072000009</v>
      </c>
      <c r="K94" s="107" t="e">
        <f t="shared" si="32"/>
        <v>#REF!</v>
      </c>
      <c r="L94" s="107" t="e">
        <f t="shared" si="32"/>
        <v>#REF!</v>
      </c>
      <c r="M94" s="107" t="e">
        <f t="shared" si="32"/>
        <v>#REF!</v>
      </c>
      <c r="N94" s="107">
        <f t="shared" si="32"/>
        <v>936727.75962299982</v>
      </c>
      <c r="O94" s="164">
        <f t="shared" si="32"/>
        <v>1</v>
      </c>
      <c r="P94" s="107" t="e">
        <f t="shared" si="32"/>
        <v>#REF!</v>
      </c>
      <c r="Q94" s="107">
        <f t="shared" si="32"/>
        <v>760276.70842882013</v>
      </c>
      <c r="R94" s="105">
        <f t="shared" si="8"/>
        <v>0.81163038099223717</v>
      </c>
      <c r="S94" s="107">
        <f>+S89+S88</f>
        <v>399885.08826871996</v>
      </c>
      <c r="T94" s="105">
        <f t="shared" si="9"/>
        <v>0.42689573802068143</v>
      </c>
      <c r="U94" s="107">
        <f>+U89+U88</f>
        <v>800149.66519865138</v>
      </c>
      <c r="V94" s="133">
        <f t="shared" si="10"/>
        <v>0.8541965976546736</v>
      </c>
      <c r="W94" s="107">
        <f>+W89+W88</f>
        <v>539037.96103591984</v>
      </c>
      <c r="X94" s="133">
        <f>W94/N94</f>
        <v>0.57544783476136518</v>
      </c>
      <c r="Y94" s="107" t="e">
        <f>+Y89+Y88</f>
        <v>#REF!</v>
      </c>
      <c r="Z94" s="107">
        <f>+Z89+Z88</f>
        <v>42068.389495831441</v>
      </c>
      <c r="AA94" s="107">
        <f>+AA89+AA88</f>
        <v>139152.87276719991</v>
      </c>
      <c r="AB94" s="101">
        <f>AB89+AB88</f>
        <v>67242.34688099999</v>
      </c>
      <c r="AC94" s="101">
        <f>AC89+AC88</f>
        <v>13223.809717000004</v>
      </c>
    </row>
    <row r="95" spans="2:31" ht="16.5" customHeight="1" x14ac:dyDescent="0.25">
      <c r="U95" s="168">
        <f>2000+4923+1611+913+2713+955+738</f>
        <v>13853</v>
      </c>
      <c r="W95" s="168">
        <v>4923</v>
      </c>
      <c r="Z95" s="82"/>
      <c r="AA95" s="82"/>
      <c r="AB95" s="82"/>
      <c r="AC95" s="82"/>
      <c r="AD95" s="111"/>
      <c r="AE95" s="82"/>
    </row>
    <row r="96" spans="2:31" ht="26.25" customHeight="1" x14ac:dyDescent="0.25">
      <c r="F96" s="132" t="s">
        <v>244</v>
      </c>
      <c r="G96" s="174" t="s">
        <v>168</v>
      </c>
      <c r="H96" s="174" t="s">
        <v>194</v>
      </c>
      <c r="I96" s="228" t="s">
        <v>169</v>
      </c>
      <c r="J96" s="228"/>
      <c r="K96" s="174" t="s">
        <v>194</v>
      </c>
      <c r="Q96" s="82"/>
      <c r="R96" s="127"/>
      <c r="T96" s="127"/>
      <c r="U96" s="82"/>
      <c r="V96" s="127"/>
      <c r="W96" s="82"/>
      <c r="X96" s="127"/>
      <c r="Y96" s="82"/>
      <c r="Z96" s="19"/>
      <c r="AA96" s="82"/>
      <c r="AB96" s="82"/>
      <c r="AC96" s="82"/>
    </row>
    <row r="97" spans="6:27" ht="21" customHeight="1" x14ac:dyDescent="0.25">
      <c r="F97" s="87" t="s">
        <v>197</v>
      </c>
      <c r="G97" s="125">
        <f>Q88</f>
        <v>531958.53375182021</v>
      </c>
      <c r="H97" s="139" t="e">
        <f>+G97/(N88-P88)</f>
        <v>#REF!</v>
      </c>
      <c r="I97" s="224">
        <f>S88</f>
        <v>181733.63630072001</v>
      </c>
      <c r="J97" s="225"/>
      <c r="K97" s="139" t="e">
        <f>I97/(N88-P88)</f>
        <v>#REF!</v>
      </c>
      <c r="P97" s="82"/>
      <c r="Q97" s="82"/>
      <c r="S97" s="82"/>
      <c r="U97" s="82"/>
      <c r="V97" s="127"/>
      <c r="X97" s="127"/>
      <c r="Y97" s="82"/>
      <c r="Z97" s="19"/>
      <c r="AA97" s="82"/>
    </row>
    <row r="98" spans="6:27" ht="23.25" customHeight="1" thickBot="1" x14ac:dyDescent="0.3">
      <c r="F98" s="87" t="s">
        <v>259</v>
      </c>
      <c r="G98" s="125">
        <f>Q89</f>
        <v>228318.17467699997</v>
      </c>
      <c r="H98" s="139" t="e">
        <f>G98/(N89-P89)</f>
        <v>#REF!</v>
      </c>
      <c r="I98" s="224">
        <f>S89</f>
        <v>218151.45196799998</v>
      </c>
      <c r="J98" s="225"/>
      <c r="K98" s="139" t="e">
        <f>I98/(N89-P89)</f>
        <v>#REF!</v>
      </c>
      <c r="Q98" s="82"/>
      <c r="S98" s="82"/>
      <c r="U98" s="82"/>
      <c r="V98" s="19"/>
      <c r="W98" s="19"/>
      <c r="Y98" s="82"/>
      <c r="AA98" s="82"/>
    </row>
    <row r="99" spans="6:27" ht="15.75" customHeight="1" thickBot="1" x14ac:dyDescent="0.3">
      <c r="F99" s="87" t="s">
        <v>205</v>
      </c>
      <c r="G99" s="126">
        <f>+G98+G97</f>
        <v>760276.70842882013</v>
      </c>
      <c r="H99" s="105" t="e">
        <f>+G99/(N94-P94)</f>
        <v>#REF!</v>
      </c>
      <c r="I99" s="226">
        <f>+I98+I97</f>
        <v>399885.08826871996</v>
      </c>
      <c r="J99" s="227"/>
      <c r="K99" s="105" t="e">
        <f>I99/(N94-P94)</f>
        <v>#REF!</v>
      </c>
      <c r="Q99" s="82"/>
      <c r="S99" s="19"/>
      <c r="U99" s="82"/>
    </row>
    <row r="100" spans="6:27" x14ac:dyDescent="0.25">
      <c r="S100" s="19"/>
    </row>
    <row r="101" spans="6:27" x14ac:dyDescent="0.25">
      <c r="Q101" s="82"/>
      <c r="R101" s="82"/>
      <c r="S101" s="59"/>
      <c r="T101" s="82"/>
      <c r="U101" s="82"/>
    </row>
    <row r="102" spans="6:27" x14ac:dyDescent="0.25">
      <c r="G102" s="82"/>
      <c r="H102" s="82"/>
      <c r="Q102" s="19"/>
      <c r="S102" s="19"/>
      <c r="U102" s="82"/>
    </row>
    <row r="103" spans="6:27" x14ac:dyDescent="0.25">
      <c r="G103" s="82"/>
      <c r="H103" s="82"/>
      <c r="Q103" s="19"/>
      <c r="S103" s="19"/>
    </row>
    <row r="104" spans="6:27" x14ac:dyDescent="0.25">
      <c r="G104" s="129"/>
      <c r="H104" s="82"/>
      <c r="J104" s="82"/>
      <c r="K104" s="82"/>
      <c r="L104" s="82"/>
      <c r="M104" s="82"/>
      <c r="N104" s="86"/>
      <c r="O104" s="86"/>
      <c r="Q104" s="19"/>
      <c r="S104" s="19"/>
    </row>
  </sheetData>
  <mergeCells count="24">
    <mergeCell ref="AB45:AC45"/>
    <mergeCell ref="A1:D2"/>
    <mergeCell ref="F1:F2"/>
    <mergeCell ref="G45:J45"/>
    <mergeCell ref="N45:T45"/>
    <mergeCell ref="U45:AA45"/>
    <mergeCell ref="E46:E47"/>
    <mergeCell ref="F46:F47"/>
    <mergeCell ref="G46:G47"/>
    <mergeCell ref="H46:J46"/>
    <mergeCell ref="K46:K47"/>
    <mergeCell ref="I99:J99"/>
    <mergeCell ref="M46:M47"/>
    <mergeCell ref="N46:N47"/>
    <mergeCell ref="O46:O47"/>
    <mergeCell ref="P46:P47"/>
    <mergeCell ref="L46:L47"/>
    <mergeCell ref="Y46:AA46"/>
    <mergeCell ref="AB46:AC46"/>
    <mergeCell ref="I96:J96"/>
    <mergeCell ref="I97:J97"/>
    <mergeCell ref="I98:J98"/>
    <mergeCell ref="Q46:T46"/>
    <mergeCell ref="U46:X46"/>
  </mergeCells>
  <conditionalFormatting sqref="B7 B13:B14 B16:B19 B21:C25 D14:E32 B27:B30 A4:A32 F4:F32 A33:F33">
    <cfRule type="expression" dxfId="14" priority="14">
      <formula>MOD(ROW(),2)=0</formula>
    </cfRule>
  </conditionalFormatting>
  <conditionalFormatting sqref="D4:E11">
    <cfRule type="expression" dxfId="13" priority="15">
      <formula>MOD(ROW(),2)=0</formula>
    </cfRule>
  </conditionalFormatting>
  <conditionalFormatting sqref="B5">
    <cfRule type="expression" dxfId="12" priority="12">
      <formula>MOD(ROW(),2)=0</formula>
    </cfRule>
  </conditionalFormatting>
  <conditionalFormatting sqref="B4">
    <cfRule type="expression" dxfId="11" priority="13">
      <formula>MOD(ROW(),2)=0</formula>
    </cfRule>
  </conditionalFormatting>
  <conditionalFormatting sqref="B6">
    <cfRule type="expression" dxfId="10" priority="11">
      <formula>MOD(ROW(),2)=0</formula>
    </cfRule>
  </conditionalFormatting>
  <conditionalFormatting sqref="B15">
    <cfRule type="expression" dxfId="9" priority="10">
      <formula>MOD(ROW(),2)=0</formula>
    </cfRule>
  </conditionalFormatting>
  <conditionalFormatting sqref="B8 B10">
    <cfRule type="expression" dxfId="8" priority="9">
      <formula>MOD(ROW(),2)=0</formula>
    </cfRule>
  </conditionalFormatting>
  <conditionalFormatting sqref="B9 B11">
    <cfRule type="expression" dxfId="7" priority="8">
      <formula>MOD(ROW(),2)=0</formula>
    </cfRule>
  </conditionalFormatting>
  <conditionalFormatting sqref="B26 B20 B32">
    <cfRule type="expression" dxfId="6" priority="7">
      <formula>MOD(ROW(),2)=0</formula>
    </cfRule>
  </conditionalFormatting>
  <conditionalFormatting sqref="B31">
    <cfRule type="expression" dxfId="5" priority="6">
      <formula>MOD(ROW(),2)=0</formula>
    </cfRule>
  </conditionalFormatting>
  <conditionalFormatting sqref="B12">
    <cfRule type="expression" dxfId="4" priority="5">
      <formula>MOD(ROW(),2)=0</formula>
    </cfRule>
  </conditionalFormatting>
  <conditionalFormatting sqref="A3">
    <cfRule type="expression" dxfId="3" priority="3">
      <formula>MOD(ROW(),2)=0</formula>
    </cfRule>
    <cfRule type="expression" dxfId="2" priority="4">
      <formula>MOD(ROW(),2)=1</formula>
    </cfRule>
  </conditionalFormatting>
  <conditionalFormatting sqref="D13:E13">
    <cfRule type="expression" dxfId="1" priority="1">
      <formula>MOD(ROW(),2)=0</formula>
    </cfRule>
  </conditionalFormatting>
  <conditionalFormatting sqref="D12:E12">
    <cfRule type="expression" dxfId="0" priority="2">
      <formula>MOD(ROW(),2)=0</formula>
    </cfRule>
  </conditionalFormatting>
  <pageMargins left="0.7" right="0.7" top="0.75" bottom="0.75" header="0.3" footer="0.3"/>
  <pageSetup orientation="portrait" r:id="rId1"/>
  <ignoredErrors>
    <ignoredError sqref="O76 O79 O82 O48:O70 R48 R58:R82 T48:T82 V48:V85 X48:X82 Z58:Z82 AB58:AB82 AC58:AC82 AA58:AA76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C923D1519924693B1182D3BA6A7D5" ma:contentTypeVersion="4" ma:contentTypeDescription="Create a new document." ma:contentTypeScope="" ma:versionID="e845ca6ee9f1b4d2e05b77d360e551b8">
  <xsd:schema xmlns:xsd="http://www.w3.org/2001/XMLSchema" xmlns:xs="http://www.w3.org/2001/XMLSchema" xmlns:p="http://schemas.microsoft.com/office/2006/metadata/properties" xmlns:ns1="http://schemas.microsoft.com/sharepoint/v3" xmlns:ns2="47680e8d-b69d-4e5d-b54f-4b6e3344b63a" targetNamespace="http://schemas.microsoft.com/office/2006/metadata/properties" ma:root="true" ma:fieldsID="c8793418833782dccf7ec3868cf18925" ns1:_="" ns2:_="">
    <xsd:import namespace="http://schemas.microsoft.com/sharepoint/v3"/>
    <xsd:import namespace="47680e8d-b69d-4e5d-b54f-4b6e3344b6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80e8d-b69d-4e5d-b54f-4b6e3344b63a" elementFormDefault="qualified">
    <xsd:import namespace="http://schemas.microsoft.com/office/2006/documentManagement/types"/>
    <xsd:import namespace="http://schemas.microsoft.com/office/infopath/2007/PartnerControls"/>
    <xsd:element name="Filtro" ma:index="10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11" nillable="true" ma:displayName="Formato" ma:default="/Style%20Library/Images/pdf.svg" ma:description="/Style%20Library/Images/pdf.svg&#10;/Style%20Library/Images/doc.svg&#10;/Style%20Library/Images/xls.svg&#10;/Style%20Library/Images/ppt.svg&#10;/Style%20Library/Images/jpg.svg&#10;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ltro xmlns="47680e8d-b69d-4e5d-b54f-4b6e3344b63a" xsi:nil="true"/>
    <Formato xmlns="47680e8d-b69d-4e5d-b54f-4b6e3344b63a">/Style%20Library/Images/xls.svg</Formato>
    <orden xmlns="47680e8d-b69d-4e5d-b54f-4b6e3344b63a" xsi:nil="true"/>
  </documentManagement>
</p:properties>
</file>

<file path=customXml/itemProps1.xml><?xml version="1.0" encoding="utf-8"?>
<ds:datastoreItem xmlns:ds="http://schemas.openxmlformats.org/officeDocument/2006/customXml" ds:itemID="{290C7477-392E-4BFD-BD7F-97D8046A6D0C}"/>
</file>

<file path=customXml/itemProps2.xml><?xml version="1.0" encoding="utf-8"?>
<ds:datastoreItem xmlns:ds="http://schemas.openxmlformats.org/officeDocument/2006/customXml" ds:itemID="{07FBA2D6-549F-4B30-845F-C6D40CC01E9B}"/>
</file>

<file path=customXml/itemProps3.xml><?xml version="1.0" encoding="utf-8"?>
<ds:datastoreItem xmlns:ds="http://schemas.openxmlformats.org/officeDocument/2006/customXml" ds:itemID="{C4B8CD99-6F5C-4513-B3C9-8C72C1325B4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SIIF Ejecución  </vt:lpstr>
      <vt:lpstr>ejecucion OAP</vt:lpstr>
      <vt:lpstr>RESERVAS </vt:lpstr>
      <vt:lpstr>RESUMEN</vt:lpstr>
      <vt:lpstr>MOD METAS VP X TP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Maribel Roa Buitrago</dc:creator>
  <cp:lastModifiedBy>Cenaida Jerez Ruiz</cp:lastModifiedBy>
  <cp:lastPrinted>2015-12-30T14:00:33Z</cp:lastPrinted>
  <dcterms:created xsi:type="dcterms:W3CDTF">2015-02-17T14:05:09Z</dcterms:created>
  <dcterms:modified xsi:type="dcterms:W3CDTF">2016-09-14T21:36:14Z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0x010100DA5C923D1519924693B1182D3BA6A7D5</vt:lpwstr>
  </property>
</Properties>
</file>